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Disco de Trabajo 2015-2019\jose A\Emsercota\Consultoria EAAB\Proyecto de Interconexion ASB\Interconexion EAAB\Contratacion\Obras Civiles\"/>
    </mc:Choice>
  </mc:AlternateContent>
  <bookViews>
    <workbookView xWindow="0" yWindow="0" windowWidth="20490" windowHeight="7665" tabRatio="753" firstSheet="2" activeTab="13"/>
  </bookViews>
  <sheets>
    <sheet name="Cuadro Experiencia Anexo No 2A" sheetId="18" r:id="rId1"/>
    <sheet name="Cuadro Experiencia Anexo No 2B" sheetId="19" r:id="rId2"/>
    <sheet name="Resumen" sheetId="1" r:id="rId3"/>
    <sheet name="Formulario_1" sheetId="3" state="hidden" r:id="rId4"/>
    <sheet name="Formulario_1 Inter" sheetId="13" r:id="rId5"/>
    <sheet name="Formulario_2 arena chia" sheetId="12" state="hidden" r:id="rId6"/>
    <sheet name="Formulario_3" sheetId="4" state="hidden" r:id="rId7"/>
    <sheet name="Formulario_4" sheetId="6" state="hidden" r:id="rId8"/>
    <sheet name="Formulario_5" sheetId="2" state="hidden" r:id="rId9"/>
    <sheet name="APUs nuevos" sheetId="10" state="hidden" r:id="rId10"/>
    <sheet name="Lista_prec_base" sheetId="11" state="hidden" r:id="rId11"/>
    <sheet name="Formulario_2 Tanque" sheetId="14" r:id="rId12"/>
    <sheet name="Formulario_3 Estación de bombeo" sheetId="15" r:id="rId13"/>
    <sheet name="Formulario_4 impulsion" sheetId="17" r:id="rId14"/>
    <sheet name="calc cant (2)" sheetId="16"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___PJ50" localSheetId="1">#REF!</definedName>
    <definedName name="_____PJ50">#REF!</definedName>
    <definedName name="_____pj51" localSheetId="1">#REF!</definedName>
    <definedName name="_____pj51">#REF!</definedName>
    <definedName name="____PJ50" localSheetId="1">#REF!</definedName>
    <definedName name="____PJ50">#REF!</definedName>
    <definedName name="____pj51" localSheetId="1">#REF!</definedName>
    <definedName name="____pj51">#REF!</definedName>
    <definedName name="___PJ50" localSheetId="1">#REF!</definedName>
    <definedName name="___PJ50">#REF!</definedName>
    <definedName name="___pj51" localSheetId="1">#REF!</definedName>
    <definedName name="___pj51">#REF!</definedName>
    <definedName name="__AFC1">[1]INV!$A$25:$D$28</definedName>
    <definedName name="__AFC3">[1]INV!$F$25:$I$28</definedName>
    <definedName name="__AFC5">[1]INV!$K$25:$N$28</definedName>
    <definedName name="__BGC1">[1]INV!$A$5:$D$8</definedName>
    <definedName name="__BGC3">[1]INV!$F$5:$I$8</definedName>
    <definedName name="__BGC5">[1]INV!$K$5:$N$8</definedName>
    <definedName name="__CAC1">[1]INV!$A$19:$D$22</definedName>
    <definedName name="__CAC3">[1]INV!$F$19:$I$22</definedName>
    <definedName name="__CAC5">[1]INV!$K$19:$N$22</definedName>
    <definedName name="__PJ50" localSheetId="1">#REF!</definedName>
    <definedName name="__PJ50">#REF!</definedName>
    <definedName name="__pj51" localSheetId="1">#REF!</definedName>
    <definedName name="__pj51">#REF!</definedName>
    <definedName name="__SBC1">[1]INV!$A$12:$D$15</definedName>
    <definedName name="__SBC3">[1]INV!$F$12:$I$15</definedName>
    <definedName name="__SBC5">[1]INV!$K$12:$N$15</definedName>
    <definedName name="_AFC1">[1]INV!$A$25:$D$28</definedName>
    <definedName name="_AFC3">[1]INV!$F$25:$I$28</definedName>
    <definedName name="_AFC5">[1]INV!$K$25:$N$28</definedName>
    <definedName name="_APU221" localSheetId="1">#REF!</definedName>
    <definedName name="_APU221">#REF!</definedName>
    <definedName name="_APU465" localSheetId="1">[2]!absc</definedName>
    <definedName name="_APU465">[2]!absc</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xlnm._FilterDatabase" localSheetId="14" hidden="1">'calc cant (2)'!$C$4:$AS$315</definedName>
    <definedName name="_PJ50" localSheetId="1">#REF!</definedName>
    <definedName name="_PJ50">#REF!</definedName>
    <definedName name="_pj51" localSheetId="1">#REF!</definedName>
    <definedName name="_pj51">#REF!</definedName>
    <definedName name="_SBC1">[1]INV!$A$12:$D$15</definedName>
    <definedName name="_SBC3">[1]INV!$F$12:$I$15</definedName>
    <definedName name="_SBC5">[1]INV!$K$12:$N$15</definedName>
    <definedName name="A" localSheetId="1">#REF!</definedName>
    <definedName name="A">#REF!</definedName>
    <definedName name="A_impresión_IM" localSheetId="1">#REF!</definedName>
    <definedName name="A_impresión_IM">#REF!</definedName>
    <definedName name="AAC">[1]AASHTO!$A$14:$F$17</definedName>
    <definedName name="ABG">[1]AASHTO!$A$2:$F$5</definedName>
    <definedName name="absc">#N/A</definedName>
    <definedName name="adoq" localSheetId="1">[3]!absc</definedName>
    <definedName name="adoq">[3]!absc</definedName>
    <definedName name="alc" localSheetId="1">[4]!absc</definedName>
    <definedName name="alc">[4]!absc</definedName>
    <definedName name="AÑOWUIE">'[5]Res-Accide-10'!$R$2:$R$7</definedName>
    <definedName name="APU" localSheetId="1">[6]!absc</definedName>
    <definedName name="APU">[6]!absc</definedName>
    <definedName name="APU221.1" localSheetId="1">#REF!</definedName>
    <definedName name="APU221.1">#REF!</definedName>
    <definedName name="APU221.2" localSheetId="1">#REF!</definedName>
    <definedName name="APU221.2">#REF!</definedName>
    <definedName name="_xlnm.Print_Area" localSheetId="9">'APUs nuevos'!$A$1:$F$1772</definedName>
    <definedName name="_xlnm.Print_Area" localSheetId="14">'calc cant (2)'!$A$1:$AS$317</definedName>
    <definedName name="_xlnm.Print_Area" localSheetId="0">'Cuadro Experiencia Anexo No 2A'!$A$1:$O$35</definedName>
    <definedName name="_xlnm.Print_Area" localSheetId="1">'Cuadro Experiencia Anexo No 2B'!$A$1:$O$35</definedName>
    <definedName name="_xlnm.Print_Area" localSheetId="3">Formulario_1!$B$1:$G$33</definedName>
    <definedName name="_xlnm.Print_Area" localSheetId="4">'Formulario_1 Inter'!$B$11:$G$79</definedName>
    <definedName name="_xlnm.Print_Area" localSheetId="5">'Formulario_2 arena chia'!$B$1:$G$100</definedName>
    <definedName name="_xlnm.Print_Area" localSheetId="11">'Formulario_2 Tanque'!$B$1:$G$36</definedName>
    <definedName name="_xlnm.Print_Area" localSheetId="6">Formulario_3!$B$1:$G$27</definedName>
    <definedName name="_xlnm.Print_Area" localSheetId="12">'Formulario_3 Estación de bombeo'!$B$10:$G$161</definedName>
    <definedName name="_xlnm.Print_Area" localSheetId="7">Formulario_4!$B$1:$G$19</definedName>
    <definedName name="_xlnm.Print_Area" localSheetId="13">'Formulario_4 impulsion'!$B$1:$G$44</definedName>
    <definedName name="_xlnm.Print_Area" localSheetId="8">Formulario_5!$B$1:$G$12</definedName>
    <definedName name="_xlnm.Print_Area" localSheetId="2">Resumen!$B$1:$D$20</definedName>
    <definedName name="_xlnm.Print_Area">#REF!</definedName>
    <definedName name="ASB">[1]AASHTO!$A$8:$F$11</definedName>
    <definedName name="asdfñk" localSheetId="1">[7]!absc</definedName>
    <definedName name="asdfñk">[7]!absc</definedName>
    <definedName name="auto1" localSheetId="1">#REF!</definedName>
    <definedName name="auto1">#REF!</definedName>
    <definedName name="auto2" localSheetId="1">#REF!</definedName>
    <definedName name="auto2">#REF!</definedName>
    <definedName name="b" localSheetId="1">#REF!</definedName>
    <definedName name="b">#REF!</definedName>
    <definedName name="_xlnm.Database" localSheetId="1">#REF!</definedName>
    <definedName name="_xlnm.Database">#REF!</definedName>
    <definedName name="C_" localSheetId="1">#REF!</definedName>
    <definedName name="C_">#REF!</definedName>
    <definedName name="CANT" localSheetId="1">#REF!</definedName>
    <definedName name="CANT">#REF!</definedName>
    <definedName name="CCCCCC" localSheetId="1">'[8]A. P. U.'!#REF!</definedName>
    <definedName name="CCCCCC">'[8]A. P. U.'!#REF!</definedName>
    <definedName name="ccto210" localSheetId="1">#REF!</definedName>
    <definedName name="ccto210">#REF!</definedName>
    <definedName name="CODO90X2">[9]Materiales!$C$38</definedName>
    <definedName name="CODO90X4">[9]Materiales!$C$39</definedName>
    <definedName name="cv" localSheetId="1">#REF!</definedName>
    <definedName name="cv">#REF!</definedName>
    <definedName name="DD" localSheetId="1">#REF!</definedName>
    <definedName name="DD">#REF!</definedName>
    <definedName name="demanto" localSheetId="1">#REF!</definedName>
    <definedName name="demanto">#REF!</definedName>
    <definedName name="diego" localSheetId="1">#REF!</definedName>
    <definedName name="diego">#REF!</definedName>
    <definedName name="diego1" localSheetId="1">#REF!</definedName>
    <definedName name="diego1">#REF!</definedName>
    <definedName name="emanto" localSheetId="1">#REF!</definedName>
    <definedName name="emanto">#REF!</definedName>
    <definedName name="EQUIPO" localSheetId="1">#REF!</definedName>
    <definedName name="EQUIPO">#REF!</definedName>
    <definedName name="exCEL" localSheetId="1">#REF!</definedName>
    <definedName name="exCEL">#REF!</definedName>
    <definedName name="Excel_BuiltIn_Print_Area_3" localSheetId="1">#REF!</definedName>
    <definedName name="Excel_BuiltIn_Print_Area_3">#REF!</definedName>
    <definedName name="Excel_BuiltIn_Print_Area_3_X" localSheetId="1">#REF!</definedName>
    <definedName name="Excel_BuiltIn_Print_Area_3_X">#REF!</definedName>
    <definedName name="Excel_BuiltIn_Print_Titles_10" localSheetId="1">[10]SKJ452!#REF!</definedName>
    <definedName name="Excel_BuiltIn_Print_Titles_10">[10]SKJ452!#REF!</definedName>
    <definedName name="Excel_BuiltIn_Print_Titles_11" localSheetId="1">[10]ITA878!#REF!</definedName>
    <definedName name="Excel_BuiltIn_Print_Titles_11">[10]ITA878!#REF!</definedName>
    <definedName name="Excel_BuiltIn_Print_Titles_12" localSheetId="1">'[10]AEA-944'!#REF!</definedName>
    <definedName name="Excel_BuiltIn_Print_Titles_12">'[10]AEA-944'!#REF!</definedName>
    <definedName name="Excel_BuiltIn_Print_Titles_13" localSheetId="1">'[10]DUB-823'!#REF!</definedName>
    <definedName name="Excel_BuiltIn_Print_Titles_13">'[10]DUB-823'!#REF!</definedName>
    <definedName name="Excel_BuiltIn_Print_Titles_14" localSheetId="1">'[10]GPI 526'!#REF!</definedName>
    <definedName name="Excel_BuiltIn_Print_Titles_14">'[10]GPI 526'!#REF!</definedName>
    <definedName name="Excel_BuiltIn_Print_Titles_15" localSheetId="1">#REF!</definedName>
    <definedName name="Excel_BuiltIn_Print_Titles_15">#REF!</definedName>
    <definedName name="Excel_BuiltIn_Print_Titles_16" localSheetId="1">#REF!</definedName>
    <definedName name="Excel_BuiltIn_Print_Titles_16">#REF!</definedName>
    <definedName name="Excel_BuiltIn_Print_Titles_17" localSheetId="1">#REF!</definedName>
    <definedName name="Excel_BuiltIn_Print_Titles_17">#REF!</definedName>
    <definedName name="Excel_BuiltIn_Print_Titles_18" localSheetId="1">#REF!</definedName>
    <definedName name="Excel_BuiltIn_Print_Titles_18">#REF!</definedName>
    <definedName name="Excel_BuiltIn_Print_Titles_19" localSheetId="1">[10]XXJ617!#REF!</definedName>
    <definedName name="Excel_BuiltIn_Print_Titles_19">[10]XXJ617!#REF!</definedName>
    <definedName name="Excel_BuiltIn_Print_Titles_20" localSheetId="1">#REF!</definedName>
    <definedName name="Excel_BuiltIn_Print_Titles_20">#REF!</definedName>
    <definedName name="Excel_BuiltIn_Print_Titles_21" localSheetId="1">[10]SNG_855!#REF!</definedName>
    <definedName name="Excel_BuiltIn_Print_Titles_21">[10]SNG_855!#REF!</definedName>
    <definedName name="Excel_BuiltIn_Print_Titles_23" localSheetId="1">#REF!</definedName>
    <definedName name="Excel_BuiltIn_Print_Titles_23">#REF!</definedName>
    <definedName name="Excel_BuiltIn_Print_Titles_3" localSheetId="1">#REF!</definedName>
    <definedName name="Excel_BuiltIn_Print_Titles_3">#REF!</definedName>
    <definedName name="Excel_BuiltIn_Print_Titles_5" localSheetId="1">'[10]VEA 374'!#REF!</definedName>
    <definedName name="Excel_BuiltIn_Print_Titles_5">'[10]VEA 374'!#REF!</definedName>
    <definedName name="Excel_BuiltIn_Print_Titles_5_XX" localSheetId="1">'[10]VEA 374'!#REF!</definedName>
    <definedName name="Excel_BuiltIn_Print_Titles_5_XX">'[10]VEA 374'!#REF!</definedName>
    <definedName name="Excel_BuiltIn_Print_Titles_6" localSheetId="1">#REF!</definedName>
    <definedName name="Excel_BuiltIn_Print_Titles_6">#REF!</definedName>
    <definedName name="Excel_BuiltIn_Print_Titles_7" localSheetId="1">[10]HFB024!#REF!</definedName>
    <definedName name="Excel_BuiltIn_Print_Titles_7">[10]HFB024!#REF!</definedName>
    <definedName name="Excel_BuiltIn_Print_Titles_8" localSheetId="1">#REF!</definedName>
    <definedName name="Excel_BuiltIn_Print_Titles_8">#REF!</definedName>
    <definedName name="Excel_BuiltIn_Print_Titles_9" localSheetId="1">[10]PAJ825!#REF!</definedName>
    <definedName name="Excel_BuiltIn_Print_Titles_9">[10]PAJ825!#REF!</definedName>
    <definedName name="EXCROC">'[11]Análisis de precios'!$H$52</definedName>
    <definedName name="fd" localSheetId="1">'[8]A. P. U.'!#REF!</definedName>
    <definedName name="fd">'[8]A. P. U.'!#REF!</definedName>
    <definedName name="GKJDGDIJZ">"Imagen 3"</definedName>
    <definedName name="GRUPO1" localSheetId="1">#REF!</definedName>
    <definedName name="GRUPO1">#REF!</definedName>
    <definedName name="GRUPO2" localSheetId="1">#REF!</definedName>
    <definedName name="GRUPO2">#REF!</definedName>
    <definedName name="h" localSheetId="14">'calc cant (2)'!$AI$21:$AI$140</definedName>
    <definedName name="h">#REF!</definedName>
    <definedName name="HOJA1" localSheetId="1">#REF!</definedName>
    <definedName name="HOJA1">#REF!</definedName>
    <definedName name="I" localSheetId="1">#REF!</definedName>
    <definedName name="I">#REF!</definedName>
    <definedName name="IF" localSheetId="1">'[8]A. P. U.'!#REF!</definedName>
    <definedName name="IF">'[8]A. P. U.'!#REF!</definedName>
    <definedName name="inf" localSheetId="1">#REF!</definedName>
    <definedName name="inf">#REF!</definedName>
    <definedName name="INFG" localSheetId="1">#REF!</definedName>
    <definedName name="INFG">#REF!</definedName>
    <definedName name="INV_11">'[12]PR 1'!$A$2:$N$655</definedName>
    <definedName name="ITEM" localSheetId="1">#REF!</definedName>
    <definedName name="ITEM">#REF!</definedName>
    <definedName name="ITEM1" localSheetId="1">#REF!</definedName>
    <definedName name="ITEM1">#REF!</definedName>
    <definedName name="ITEM15" localSheetId="1">#REF!</definedName>
    <definedName name="ITEM15">#REF!</definedName>
    <definedName name="ITEM2" localSheetId="1">#REF!</definedName>
    <definedName name="ITEM2">#REF!</definedName>
    <definedName name="ITEM3" localSheetId="1">#REF!</definedName>
    <definedName name="ITEM3">#REF!</definedName>
    <definedName name="kl" localSheetId="1">#REF!</definedName>
    <definedName name="kl">#REF!</definedName>
    <definedName name="LICITACION" localSheetId="1">#REF!</definedName>
    <definedName name="LICITACION">#REF!</definedName>
    <definedName name="LOCA" localSheetId="1">[6]!absc</definedName>
    <definedName name="LOCA">[6]!absc</definedName>
    <definedName name="LOCA1" localSheetId="1">[6]!absc</definedName>
    <definedName name="LOCA1">[6]!absc</definedName>
    <definedName name="MAL" localSheetId="1">'[13]Estado Resumen'!#REF!&lt;2.5</definedName>
    <definedName name="MAL">'[13]Estado Resumen'!#REF!&lt;2.5</definedName>
    <definedName name="MALO" localSheetId="1">'[14]ESTADO VÍA-CRIT.TECNICO'!#REF!&lt;2.5</definedName>
    <definedName name="MALO">'[14]ESTADO VÍA-CRIT.TECNICO'!#REF!&lt;2.5</definedName>
    <definedName name="MAT" localSheetId="1">#REF!</definedName>
    <definedName name="MAT">#REF!</definedName>
    <definedName name="NM" localSheetId="1">#REF!</definedName>
    <definedName name="NM">#REF!</definedName>
    <definedName name="NNN" localSheetId="1">[2]!absc</definedName>
    <definedName name="NNN">[2]!absc</definedName>
    <definedName name="NOMBRE" localSheetId="1">#REF!</definedName>
    <definedName name="NOMBRE">#REF!</definedName>
    <definedName name="ooo" localSheetId="1">#REF!</definedName>
    <definedName name="ooo">#REF!</definedName>
    <definedName name="PRE" localSheetId="1">#REF!</definedName>
    <definedName name="PRE">#REF!</definedName>
    <definedName name="Print_Area_MI" localSheetId="1">#REF!</definedName>
    <definedName name="Print_Area_MI">#REF!</definedName>
    <definedName name="PRUEBA2" localSheetId="1">#REF!</definedName>
    <definedName name="PRUEBA2">#REF!</definedName>
    <definedName name="REG">'[13]Estado Resumen'!XFC1&gt;2.5</definedName>
    <definedName name="REGULAR">'[14]ESTADO VÍA-CRIT.TECNICO'!XFC1&gt;2.5</definedName>
    <definedName name="rell" localSheetId="1">#REF!</definedName>
    <definedName name="rell">#REF!</definedName>
    <definedName name="RELLG" localSheetId="1">#REF!</definedName>
    <definedName name="RELLG">#REF!</definedName>
    <definedName name="SOLDADURALIQ">[9]Materiales!$C$70</definedName>
    <definedName name="SS" localSheetId="1">#REF!</definedName>
    <definedName name="SS">#REF!</definedName>
    <definedName name="t" localSheetId="1">[2]!absc</definedName>
    <definedName name="t">[2]!absc</definedName>
    <definedName name="Tabla" localSheetId="1">#REF!</definedName>
    <definedName name="Tabla">#REF!</definedName>
    <definedName name="TITULO" localSheetId="1">#REF!</definedName>
    <definedName name="TITULO">#REF!</definedName>
    <definedName name="_xlnm.Print_Titles" localSheetId="14">'calc cant (2)'!$C:$G,'calc cant (2)'!$2:$2</definedName>
    <definedName name="_xlnm.Print_Titles" localSheetId="4">'Formulario_1 Inter'!$B:$G,'Formulario_1 Inter'!$1:$10</definedName>
    <definedName name="_xlnm.Print_Titles" localSheetId="12">'Formulario_3 Estación de bombeo'!$B:$G,'Formulario_3 Estación de bombeo'!$1:$9</definedName>
    <definedName name="TOTAL" localSheetId="1">#REF!</definedName>
    <definedName name="TOTAL">#REF!</definedName>
    <definedName name="totam">[15]Inventario!$T$24</definedName>
    <definedName name="totcacajdob">[16]Inventario!$AI$23</definedName>
    <definedName name="totcacajsi">[16]Inventario!$AH$23</definedName>
    <definedName name="totcadob">[16]Inventario!$S$17</definedName>
    <definedName name="totcasi">[16]Inventario!$R$17</definedName>
    <definedName name="totcasin">[17]Inventario!$R$24</definedName>
    <definedName name="TRAT">[18]desmonte!$E$48</definedName>
    <definedName name="U" localSheetId="1">#REF!</definedName>
    <definedName name="U">#REF!</definedName>
    <definedName name="valor1" localSheetId="1">#REF!</definedName>
    <definedName name="valor1">#REF!</definedName>
    <definedName name="valor2" localSheetId="1">#REF!</definedName>
    <definedName name="valor2">#REF!</definedName>
    <definedName name="VALOR3" localSheetId="1">#REF!</definedName>
    <definedName name="VALOR3">#REF!</definedName>
    <definedName name="VVV" localSheetId="1">#REF!</definedName>
    <definedName name="VVV">#REF!</definedName>
    <definedName name="WER">'[5]Res-Accide-10'!$S$2:$S$7</definedName>
    <definedName name="WILSON" localSheetId="1">'[5]Res-Accide-10'!#REF!</definedName>
    <definedName name="WILSON">'[5]Res-Accide-10'!#REF!</definedName>
    <definedName name="XX" localSheetId="1">#REF!</definedName>
    <definedName name="XX">#REF!</definedName>
    <definedName name="XXXXXXXXXX" localSheetId="1">#REF!</definedName>
    <definedName name="XXXXXXXXXX">#REF!</definedName>
    <definedName name="XXXXXXXXXXXX" localSheetId="1">#REF!</definedName>
    <definedName name="XXXXXXXXXXXX">#REF!</definedName>
    <definedName name="YA" localSheetId="1">#REF!</definedName>
    <definedName name="YA">#REF!</definedName>
    <definedName name="YEESANIT4">[9]Materiales!$C$120</definedName>
    <definedName name="ZZZZZZZZZZZ" localSheetId="1">'[8]A. P. U.'!#REF!</definedName>
    <definedName name="ZZZZZZZZZZZ">'[8]A. P. U.'!#REF!</definedName>
  </definedNames>
  <calcPr calcId="162913"/>
  <pivotCaches>
    <pivotCache cacheId="0" r:id="rId52"/>
    <pivotCache cacheId="1" r:id="rId53"/>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9" l="1"/>
  <c r="B12" i="19"/>
  <c r="B13" i="18"/>
  <c r="B12" i="18"/>
  <c r="G23" i="13"/>
  <c r="B7" i="1" l="1"/>
  <c r="B5" i="15"/>
  <c r="B5" i="14"/>
  <c r="B5" i="17"/>
  <c r="B6" i="17"/>
  <c r="B6" i="15"/>
  <c r="B6" i="14"/>
  <c r="G58" i="15" l="1"/>
  <c r="G59" i="15"/>
  <c r="G61" i="15"/>
  <c r="G62" i="15"/>
  <c r="G63" i="15"/>
  <c r="G64" i="15"/>
  <c r="G65" i="15"/>
  <c r="G66" i="15"/>
  <c r="G67" i="15"/>
  <c r="G68" i="15"/>
  <c r="G72" i="15"/>
  <c r="G74" i="15"/>
  <c r="G77" i="15"/>
  <c r="G78" i="15"/>
  <c r="G79" i="15"/>
  <c r="G80" i="15"/>
  <c r="G81" i="15"/>
  <c r="G82" i="15"/>
  <c r="G57" i="15"/>
  <c r="G56" i="15"/>
  <c r="G55" i="15"/>
  <c r="G54" i="15"/>
  <c r="G53" i="15"/>
  <c r="G52" i="15"/>
  <c r="G51" i="15"/>
  <c r="G50" i="15"/>
  <c r="G49" i="15"/>
  <c r="G48" i="15"/>
  <c r="G47" i="15"/>
  <c r="G46" i="15"/>
  <c r="G45" i="15"/>
  <c r="G44" i="15"/>
  <c r="G43" i="15"/>
  <c r="G42" i="15"/>
  <c r="G41" i="15"/>
  <c r="G31" i="15" l="1"/>
  <c r="G40" i="15" l="1"/>
  <c r="D39" i="15"/>
  <c r="D40" i="15" s="1"/>
  <c r="G39" i="15"/>
  <c r="G38" i="15"/>
  <c r="G37" i="15"/>
  <c r="D37" i="15"/>
  <c r="G36" i="15"/>
  <c r="G35" i="15"/>
  <c r="G34" i="15"/>
  <c r="D34" i="15"/>
  <c r="G33" i="15"/>
  <c r="G32" i="15"/>
  <c r="C32" i="15"/>
  <c r="C36" i="17" l="1"/>
  <c r="C35" i="17"/>
  <c r="G33" i="13"/>
  <c r="G32" i="13"/>
  <c r="G34" i="13" l="1"/>
  <c r="G35" i="17"/>
  <c r="G36" i="17"/>
  <c r="G34" i="17"/>
  <c r="G33" i="17"/>
  <c r="G32" i="17"/>
  <c r="G31" i="17"/>
  <c r="G30" i="17"/>
  <c r="G29" i="17"/>
  <c r="G23" i="17"/>
  <c r="G22" i="17"/>
  <c r="G19" i="17"/>
  <c r="C19" i="17"/>
  <c r="C18" i="17"/>
  <c r="G15" i="17"/>
  <c r="C15" i="17"/>
  <c r="G14" i="17"/>
  <c r="C14" i="17"/>
  <c r="G13" i="17"/>
  <c r="C13" i="17"/>
  <c r="G12" i="17"/>
  <c r="G11" i="17" s="1"/>
  <c r="C12" i="17"/>
  <c r="G369" i="16"/>
  <c r="O367" i="16"/>
  <c r="N373" i="16" s="1"/>
  <c r="Q360" i="16"/>
  <c r="M362" i="16" s="1"/>
  <c r="M363" i="16" s="1"/>
  <c r="M364" i="16" s="1"/>
  <c r="P360" i="16"/>
  <c r="O360" i="16"/>
  <c r="N360" i="16"/>
  <c r="M360" i="16"/>
  <c r="AN339" i="16"/>
  <c r="AN340" i="16" s="1"/>
  <c r="AM339" i="16"/>
  <c r="AM338" i="16"/>
  <c r="AN338" i="16" s="1"/>
  <c r="M321" i="16"/>
  <c r="M319" i="16"/>
  <c r="I317" i="16"/>
  <c r="BN171" i="16"/>
  <c r="BM171" i="16"/>
  <c r="BK171" i="16"/>
  <c r="BJ171" i="16"/>
  <c r="BN170" i="16"/>
  <c r="BM170" i="16"/>
  <c r="BK170" i="16"/>
  <c r="BJ170" i="16"/>
  <c r="BN169" i="16"/>
  <c r="BM169" i="16"/>
  <c r="BK169" i="16"/>
  <c r="BJ169" i="16"/>
  <c r="BN168" i="16"/>
  <c r="BM168" i="16"/>
  <c r="BK168" i="16"/>
  <c r="BJ168" i="16"/>
  <c r="BN167" i="16"/>
  <c r="BM167" i="16"/>
  <c r="BK167" i="16"/>
  <c r="BJ167" i="16"/>
  <c r="BN166" i="16"/>
  <c r="BM166" i="16"/>
  <c r="BK166" i="16"/>
  <c r="BJ166" i="16"/>
  <c r="BN165" i="16"/>
  <c r="BM165" i="16"/>
  <c r="BK165" i="16"/>
  <c r="BJ165" i="16"/>
  <c r="BN164" i="16"/>
  <c r="BM164" i="16"/>
  <c r="BK164" i="16"/>
  <c r="BJ164" i="16"/>
  <c r="BN163" i="16"/>
  <c r="BM163" i="16"/>
  <c r="BK163" i="16"/>
  <c r="BJ163" i="16"/>
  <c r="BN162" i="16"/>
  <c r="BM162" i="16"/>
  <c r="BK162" i="16"/>
  <c r="BJ162" i="16"/>
  <c r="BN161" i="16"/>
  <c r="BM161" i="16"/>
  <c r="BK161" i="16"/>
  <c r="BJ161" i="16"/>
  <c r="BN160" i="16"/>
  <c r="BM160" i="16"/>
  <c r="BK160" i="16"/>
  <c r="BJ160" i="16"/>
  <c r="BN159" i="16"/>
  <c r="BM159" i="16"/>
  <c r="BK159" i="16"/>
  <c r="BJ159" i="16"/>
  <c r="BN158" i="16"/>
  <c r="BM158" i="16"/>
  <c r="BK158" i="16"/>
  <c r="BJ158" i="16"/>
  <c r="BN157" i="16"/>
  <c r="BM157" i="16"/>
  <c r="BK157" i="16"/>
  <c r="BJ157" i="16"/>
  <c r="BN156" i="16"/>
  <c r="BM156" i="16"/>
  <c r="BK156" i="16"/>
  <c r="BJ156" i="16"/>
  <c r="BN155" i="16"/>
  <c r="BM155" i="16"/>
  <c r="BK155" i="16"/>
  <c r="BJ155" i="16"/>
  <c r="BN154" i="16"/>
  <c r="BM154" i="16"/>
  <c r="BK154" i="16"/>
  <c r="BJ154" i="16"/>
  <c r="BN153" i="16"/>
  <c r="BM153" i="16"/>
  <c r="BK153" i="16"/>
  <c r="BJ153" i="16"/>
  <c r="BN152" i="16"/>
  <c r="BM152" i="16"/>
  <c r="BK152" i="16"/>
  <c r="BJ152" i="16"/>
  <c r="BN151" i="16"/>
  <c r="BM151" i="16"/>
  <c r="BK151" i="16"/>
  <c r="BJ151" i="16"/>
  <c r="BN150" i="16"/>
  <c r="BM150" i="16"/>
  <c r="BK150" i="16"/>
  <c r="BJ150" i="16"/>
  <c r="BN149" i="16"/>
  <c r="BM149" i="16"/>
  <c r="BK149" i="16"/>
  <c r="BJ149" i="16"/>
  <c r="BN148" i="16"/>
  <c r="BM148" i="16"/>
  <c r="BK148" i="16"/>
  <c r="BJ148" i="16"/>
  <c r="BN147" i="16"/>
  <c r="BM147" i="16"/>
  <c r="BK147" i="16"/>
  <c r="BJ147" i="16"/>
  <c r="BN146" i="16"/>
  <c r="BM146" i="16"/>
  <c r="BK146" i="16"/>
  <c r="BJ146" i="16"/>
  <c r="BN145" i="16"/>
  <c r="BM145" i="16"/>
  <c r="BK145" i="16"/>
  <c r="BJ145" i="16"/>
  <c r="BN144" i="16"/>
  <c r="BM144" i="16"/>
  <c r="BK144" i="16"/>
  <c r="BJ144" i="16"/>
  <c r="BN143" i="16"/>
  <c r="BM143" i="16"/>
  <c r="BK143" i="16"/>
  <c r="BJ143" i="16"/>
  <c r="BN142" i="16"/>
  <c r="BM142" i="16"/>
  <c r="BK142" i="16"/>
  <c r="BJ142" i="16"/>
  <c r="BN141" i="16"/>
  <c r="BM141" i="16"/>
  <c r="BK141" i="16"/>
  <c r="BJ141" i="16"/>
  <c r="BN140" i="16"/>
  <c r="BM140" i="16"/>
  <c r="BK140" i="16"/>
  <c r="BJ140" i="16"/>
  <c r="BN139" i="16"/>
  <c r="BM139" i="16"/>
  <c r="BK139" i="16"/>
  <c r="BJ139" i="16"/>
  <c r="BN138" i="16"/>
  <c r="BM138" i="16"/>
  <c r="BK138" i="16"/>
  <c r="BJ138" i="16"/>
  <c r="BN137" i="16"/>
  <c r="BM137" i="16"/>
  <c r="BK137" i="16"/>
  <c r="BJ137" i="16"/>
  <c r="BN136" i="16"/>
  <c r="BM136" i="16"/>
  <c r="BK136" i="16"/>
  <c r="BJ136" i="16"/>
  <c r="BN135" i="16"/>
  <c r="BM135" i="16"/>
  <c r="BK135" i="16"/>
  <c r="BJ135" i="16"/>
  <c r="BN134" i="16"/>
  <c r="BM134" i="16"/>
  <c r="BK134" i="16"/>
  <c r="BJ134" i="16"/>
  <c r="BN133" i="16"/>
  <c r="BM133" i="16"/>
  <c r="BK133" i="16"/>
  <c r="BJ133" i="16"/>
  <c r="BN132" i="16"/>
  <c r="BM132" i="16"/>
  <c r="BK132" i="16"/>
  <c r="BJ132" i="16"/>
  <c r="BN131" i="16"/>
  <c r="BM131" i="16"/>
  <c r="BK131" i="16"/>
  <c r="BJ131" i="16"/>
  <c r="BN130" i="16"/>
  <c r="BM130" i="16"/>
  <c r="BK130" i="16"/>
  <c r="BJ130" i="16"/>
  <c r="BN129" i="16"/>
  <c r="BM129" i="16"/>
  <c r="BK129" i="16"/>
  <c r="BJ129" i="16"/>
  <c r="BN128" i="16"/>
  <c r="BM128" i="16"/>
  <c r="BK128" i="16"/>
  <c r="BJ128" i="16"/>
  <c r="BN127" i="16"/>
  <c r="BM127" i="16"/>
  <c r="BK127" i="16"/>
  <c r="BJ127" i="16"/>
  <c r="BN126" i="16"/>
  <c r="BM126" i="16"/>
  <c r="BK126" i="16"/>
  <c r="BJ126" i="16"/>
  <c r="BN125" i="16"/>
  <c r="BM125" i="16"/>
  <c r="BK125" i="16"/>
  <c r="BJ125" i="16"/>
  <c r="BN124" i="16"/>
  <c r="BM124" i="16"/>
  <c r="BK124" i="16"/>
  <c r="BJ124" i="16"/>
  <c r="BN123" i="16"/>
  <c r="BM123" i="16"/>
  <c r="BK123" i="16"/>
  <c r="BJ123" i="16"/>
  <c r="BN122" i="16"/>
  <c r="BM122" i="16"/>
  <c r="BK122" i="16"/>
  <c r="BJ122" i="16"/>
  <c r="BN121" i="16"/>
  <c r="BM121" i="16"/>
  <c r="BK121" i="16"/>
  <c r="BJ121" i="16"/>
  <c r="BN120" i="16"/>
  <c r="BM120" i="16"/>
  <c r="BK120" i="16"/>
  <c r="BJ120" i="16"/>
  <c r="BN119" i="16"/>
  <c r="BM119" i="16"/>
  <c r="BK119" i="16"/>
  <c r="BJ119" i="16"/>
  <c r="BN118" i="16"/>
  <c r="BM118" i="16"/>
  <c r="BK118" i="16"/>
  <c r="BJ118" i="16"/>
  <c r="BN117" i="16"/>
  <c r="BM117" i="16"/>
  <c r="BK117" i="16"/>
  <c r="BJ117" i="16"/>
  <c r="BN116" i="16"/>
  <c r="BM116" i="16"/>
  <c r="BK116" i="16"/>
  <c r="BJ116" i="16"/>
  <c r="BN115" i="16"/>
  <c r="BM115" i="16"/>
  <c r="BK115" i="16"/>
  <c r="BJ115" i="16"/>
  <c r="BN114" i="16"/>
  <c r="BM114" i="16"/>
  <c r="BK114" i="16"/>
  <c r="BJ114" i="16"/>
  <c r="BN113" i="16"/>
  <c r="BM113" i="16"/>
  <c r="BK113" i="16"/>
  <c r="BJ113" i="16"/>
  <c r="BN112" i="16"/>
  <c r="BM112" i="16"/>
  <c r="BK112" i="16"/>
  <c r="BJ112" i="16"/>
  <c r="BN111" i="16"/>
  <c r="BM111" i="16"/>
  <c r="BK111" i="16"/>
  <c r="BJ111" i="16"/>
  <c r="BN110" i="16"/>
  <c r="BM110" i="16"/>
  <c r="BK110" i="16"/>
  <c r="BJ110" i="16"/>
  <c r="BN109" i="16"/>
  <c r="BM109" i="16"/>
  <c r="BK109" i="16"/>
  <c r="BJ109" i="16"/>
  <c r="BN108" i="16"/>
  <c r="BM108" i="16"/>
  <c r="BK108" i="16"/>
  <c r="BJ108" i="16"/>
  <c r="BN107" i="16"/>
  <c r="BM107" i="16"/>
  <c r="BK107" i="16"/>
  <c r="BJ107" i="16"/>
  <c r="BN106" i="16"/>
  <c r="BM106" i="16"/>
  <c r="BK106" i="16"/>
  <c r="BJ106" i="16"/>
  <c r="BN105" i="16"/>
  <c r="BM105" i="16"/>
  <c r="BK105" i="16"/>
  <c r="BJ105" i="16"/>
  <c r="BN104" i="16"/>
  <c r="BM104" i="16"/>
  <c r="BK104" i="16"/>
  <c r="BJ104" i="16"/>
  <c r="BN103" i="16"/>
  <c r="BM103" i="16"/>
  <c r="BK103" i="16"/>
  <c r="BJ103" i="16"/>
  <c r="BN102" i="16"/>
  <c r="BM102" i="16"/>
  <c r="BK102" i="16"/>
  <c r="BJ102" i="16"/>
  <c r="BN101" i="16"/>
  <c r="BM101" i="16"/>
  <c r="BK101" i="16"/>
  <c r="BJ101" i="16"/>
  <c r="BN100" i="16"/>
  <c r="BM100" i="16"/>
  <c r="BK100" i="16"/>
  <c r="BJ100" i="16"/>
  <c r="BN99" i="16"/>
  <c r="BM99" i="16"/>
  <c r="BK99" i="16"/>
  <c r="BJ99" i="16"/>
  <c r="BN98" i="16"/>
  <c r="BM98" i="16"/>
  <c r="BK98" i="16"/>
  <c r="BJ98" i="16"/>
  <c r="BN97" i="16"/>
  <c r="BM97" i="16"/>
  <c r="BK97" i="16"/>
  <c r="BJ97" i="16"/>
  <c r="BN96" i="16"/>
  <c r="BM96" i="16"/>
  <c r="BK96" i="16"/>
  <c r="BJ96" i="16"/>
  <c r="BN95" i="16"/>
  <c r="BM95" i="16"/>
  <c r="BK95" i="16"/>
  <c r="BJ95" i="16"/>
  <c r="BN94" i="16"/>
  <c r="BM94" i="16"/>
  <c r="BK94" i="16"/>
  <c r="BJ94" i="16"/>
  <c r="BN93" i="16"/>
  <c r="BM93" i="16"/>
  <c r="BK93" i="16"/>
  <c r="BJ93" i="16"/>
  <c r="BN92" i="16"/>
  <c r="BM92" i="16"/>
  <c r="BK92" i="16"/>
  <c r="BJ92" i="16"/>
  <c r="BN91" i="16"/>
  <c r="BM91" i="16"/>
  <c r="BK91" i="16"/>
  <c r="BJ91" i="16"/>
  <c r="BN90" i="16"/>
  <c r="BM90" i="16"/>
  <c r="BK90" i="16"/>
  <c r="BJ90" i="16"/>
  <c r="BN89" i="16"/>
  <c r="BM89" i="16"/>
  <c r="BK89" i="16"/>
  <c r="BJ89" i="16"/>
  <c r="BN88" i="16"/>
  <c r="BM88" i="16"/>
  <c r="BK88" i="16"/>
  <c r="BJ88" i="16"/>
  <c r="BN87" i="16"/>
  <c r="BM87" i="16"/>
  <c r="BK87" i="16"/>
  <c r="BJ87" i="16"/>
  <c r="BN86" i="16"/>
  <c r="BM86" i="16"/>
  <c r="BK86" i="16"/>
  <c r="BJ86" i="16"/>
  <c r="BN85" i="16"/>
  <c r="BM85" i="16"/>
  <c r="BK85" i="16"/>
  <c r="BJ85" i="16"/>
  <c r="BN84" i="16"/>
  <c r="BM84" i="16"/>
  <c r="BK84" i="16"/>
  <c r="BJ84" i="16"/>
  <c r="BN83" i="16"/>
  <c r="BM83" i="16"/>
  <c r="BK83" i="16"/>
  <c r="BJ83" i="16"/>
  <c r="BN82" i="16"/>
  <c r="BM82" i="16"/>
  <c r="BK82" i="16"/>
  <c r="BJ82" i="16"/>
  <c r="BN81" i="16"/>
  <c r="BM81" i="16"/>
  <c r="BK81" i="16"/>
  <c r="BJ81" i="16"/>
  <c r="BN80" i="16"/>
  <c r="BM80" i="16"/>
  <c r="BK80" i="16"/>
  <c r="BJ80" i="16"/>
  <c r="BN79" i="16"/>
  <c r="BM79" i="16"/>
  <c r="BK79" i="16"/>
  <c r="BJ79" i="16"/>
  <c r="BN78" i="16"/>
  <c r="BM78" i="16"/>
  <c r="BK78" i="16"/>
  <c r="BJ78" i="16"/>
  <c r="BN77" i="16"/>
  <c r="BM77" i="16"/>
  <c r="BK77" i="16"/>
  <c r="BJ77" i="16"/>
  <c r="BN76" i="16"/>
  <c r="BM76" i="16"/>
  <c r="BK76" i="16"/>
  <c r="BJ76" i="16"/>
  <c r="BN75" i="16"/>
  <c r="BM75" i="16"/>
  <c r="BK75" i="16"/>
  <c r="BJ75" i="16"/>
  <c r="BN74" i="16"/>
  <c r="BM74" i="16"/>
  <c r="BK74" i="16"/>
  <c r="BJ74" i="16"/>
  <c r="BN73" i="16"/>
  <c r="BM73" i="16"/>
  <c r="BK73" i="16"/>
  <c r="BJ73" i="16"/>
  <c r="BN72" i="16"/>
  <c r="BM72" i="16"/>
  <c r="BK72" i="16"/>
  <c r="BJ72" i="16"/>
  <c r="BN71" i="16"/>
  <c r="BM71" i="16"/>
  <c r="BK71" i="16"/>
  <c r="BJ71" i="16"/>
  <c r="BN70" i="16"/>
  <c r="BM70" i="16"/>
  <c r="BK70" i="16"/>
  <c r="BJ70" i="16"/>
  <c r="BN69" i="16"/>
  <c r="BM69" i="16"/>
  <c r="BK69" i="16"/>
  <c r="BJ69" i="16"/>
  <c r="BN68" i="16"/>
  <c r="BM68" i="16"/>
  <c r="BK68" i="16"/>
  <c r="BJ68" i="16"/>
  <c r="BN67" i="16"/>
  <c r="BM67" i="16"/>
  <c r="BK67" i="16"/>
  <c r="BJ67" i="16"/>
  <c r="BN66" i="16"/>
  <c r="BM66" i="16"/>
  <c r="BK66" i="16"/>
  <c r="BJ66" i="16"/>
  <c r="BN65" i="16"/>
  <c r="BM65" i="16"/>
  <c r="BK65" i="16"/>
  <c r="BJ65" i="16"/>
  <c r="BN64" i="16"/>
  <c r="BM64" i="16"/>
  <c r="BK64" i="16"/>
  <c r="BJ64" i="16"/>
  <c r="BN63" i="16"/>
  <c r="BM63" i="16"/>
  <c r="BK63" i="16"/>
  <c r="BJ63" i="16"/>
  <c r="BN62" i="16"/>
  <c r="BM62" i="16"/>
  <c r="BK62" i="16"/>
  <c r="BJ62" i="16"/>
  <c r="BN61" i="16"/>
  <c r="BM61" i="16"/>
  <c r="BK61" i="16"/>
  <c r="BJ61" i="16"/>
  <c r="BN60" i="16"/>
  <c r="BM60" i="16"/>
  <c r="BK60" i="16"/>
  <c r="BJ60" i="16"/>
  <c r="BN59" i="16"/>
  <c r="BM59" i="16"/>
  <c r="BK59" i="16"/>
  <c r="BJ59" i="16"/>
  <c r="BN58" i="16"/>
  <c r="BM58" i="16"/>
  <c r="BK58" i="16"/>
  <c r="BJ58" i="16"/>
  <c r="BN57" i="16"/>
  <c r="BM57" i="16"/>
  <c r="BK57" i="16"/>
  <c r="BJ57" i="16"/>
  <c r="BN56" i="16"/>
  <c r="BM56" i="16"/>
  <c r="BK56" i="16"/>
  <c r="BJ56" i="16"/>
  <c r="BN55" i="16"/>
  <c r="BM55" i="16"/>
  <c r="BK55" i="16"/>
  <c r="BJ55" i="16"/>
  <c r="BN54" i="16"/>
  <c r="BM54" i="16"/>
  <c r="BK54" i="16"/>
  <c r="BJ54" i="16"/>
  <c r="BN53" i="16"/>
  <c r="BM53" i="16"/>
  <c r="BK53" i="16"/>
  <c r="BJ53" i="16"/>
  <c r="BN52" i="16"/>
  <c r="BM52" i="16"/>
  <c r="BK52" i="16"/>
  <c r="BJ52" i="16"/>
  <c r="BN51" i="16"/>
  <c r="BM51" i="16"/>
  <c r="BK51" i="16"/>
  <c r="BJ51" i="16"/>
  <c r="BN50" i="16"/>
  <c r="BM50" i="16"/>
  <c r="BK50" i="16"/>
  <c r="BJ50" i="16"/>
  <c r="BN49" i="16"/>
  <c r="BM49" i="16"/>
  <c r="BK49" i="16"/>
  <c r="BJ49" i="16"/>
  <c r="BN48" i="16"/>
  <c r="BM48" i="16"/>
  <c r="BK48" i="16"/>
  <c r="BJ48" i="16"/>
  <c r="BN47" i="16"/>
  <c r="BM47" i="16"/>
  <c r="BK47" i="16"/>
  <c r="BJ47" i="16"/>
  <c r="BN46" i="16"/>
  <c r="BM46" i="16"/>
  <c r="BK46" i="16"/>
  <c r="BJ46" i="16"/>
  <c r="BN45" i="16"/>
  <c r="BM45" i="16"/>
  <c r="BK45" i="16"/>
  <c r="BJ45" i="16"/>
  <c r="BN44" i="16"/>
  <c r="BM44" i="16"/>
  <c r="BK44" i="16"/>
  <c r="BJ44" i="16"/>
  <c r="BN43" i="16"/>
  <c r="BM43" i="16"/>
  <c r="BK43" i="16"/>
  <c r="BJ43" i="16"/>
  <c r="BN42" i="16"/>
  <c r="BM42" i="16"/>
  <c r="BK42" i="16"/>
  <c r="BJ42" i="16"/>
  <c r="AF6" i="16"/>
  <c r="AE6" i="16"/>
  <c r="X6" i="16"/>
  <c r="W6" i="16"/>
  <c r="AD6" i="16" s="1"/>
  <c r="AR6" i="16" s="1"/>
  <c r="AS6" i="16" s="1"/>
  <c r="U6" i="16"/>
  <c r="T6" i="16"/>
  <c r="S6" i="16"/>
  <c r="G340" i="16" s="1"/>
  <c r="R6" i="16"/>
  <c r="AW6" i="16" s="1"/>
  <c r="J6" i="16"/>
  <c r="H6" i="16"/>
  <c r="F6" i="16"/>
  <c r="AC4" i="16"/>
  <c r="Z4" i="16"/>
  <c r="K334" i="16"/>
  <c r="G328" i="16"/>
  <c r="G326" i="16"/>
  <c r="G323" i="16"/>
  <c r="J334" i="16"/>
  <c r="G330" i="16"/>
  <c r="G325" i="16"/>
  <c r="G322" i="16"/>
  <c r="G329" i="16"/>
  <c r="G327" i="16"/>
  <c r="G324" i="16"/>
  <c r="M323" i="16" l="1"/>
  <c r="G24" i="17"/>
  <c r="G28" i="17"/>
  <c r="G27" i="17"/>
  <c r="G18" i="17"/>
  <c r="N370" i="16"/>
  <c r="N371" i="16"/>
  <c r="G331" i="16"/>
  <c r="J319" i="16" s="1"/>
  <c r="J337" i="16"/>
  <c r="K337" i="16"/>
  <c r="AZ6" i="16"/>
  <c r="S317" i="16"/>
  <c r="S320" i="16"/>
  <c r="AG6" i="16"/>
  <c r="AM341" i="16"/>
  <c r="AP341" i="16"/>
  <c r="AN341" i="16"/>
  <c r="BN6" i="16"/>
  <c r="AV6" i="16"/>
  <c r="R320" i="16"/>
  <c r="BK6" i="16"/>
  <c r="AX6" i="16"/>
  <c r="BM6" i="16"/>
  <c r="AM6" i="16"/>
  <c r="AY6" i="16"/>
  <c r="N372" i="16"/>
  <c r="G30" i="15"/>
  <c r="G27" i="15"/>
  <c r="D27" i="15"/>
  <c r="C27" i="15"/>
  <c r="G26" i="15"/>
  <c r="D26" i="15"/>
  <c r="C26" i="15"/>
  <c r="D25" i="15"/>
  <c r="C25" i="15"/>
  <c r="G24" i="15"/>
  <c r="D24" i="15"/>
  <c r="C24" i="15"/>
  <c r="G23" i="15"/>
  <c r="D23" i="15"/>
  <c r="C23" i="15"/>
  <c r="G22" i="15"/>
  <c r="D22" i="15"/>
  <c r="C22" i="15"/>
  <c r="G21" i="15"/>
  <c r="D21" i="15"/>
  <c r="C21" i="15"/>
  <c r="G20" i="15"/>
  <c r="D20" i="15"/>
  <c r="C20" i="15"/>
  <c r="G19" i="15"/>
  <c r="D19" i="15"/>
  <c r="C19" i="15"/>
  <c r="G18" i="15"/>
  <c r="D18" i="15"/>
  <c r="C18" i="15"/>
  <c r="G17" i="15"/>
  <c r="D17" i="15"/>
  <c r="C17" i="15"/>
  <c r="G16" i="15"/>
  <c r="D16" i="15"/>
  <c r="C16" i="15"/>
  <c r="G15" i="15"/>
  <c r="D15" i="15"/>
  <c r="C15" i="15"/>
  <c r="G14" i="15"/>
  <c r="D14" i="15"/>
  <c r="C14" i="15"/>
  <c r="G13" i="15"/>
  <c r="D13" i="15"/>
  <c r="C13" i="15"/>
  <c r="G12" i="15"/>
  <c r="D12" i="15"/>
  <c r="C12" i="15"/>
  <c r="B23" i="15"/>
  <c r="B24" i="15"/>
  <c r="B25" i="15"/>
  <c r="B26" i="15"/>
  <c r="B27" i="15"/>
  <c r="B13" i="15"/>
  <c r="B14" i="15"/>
  <c r="B15" i="15"/>
  <c r="B16" i="15"/>
  <c r="B17" i="15"/>
  <c r="B18" i="15"/>
  <c r="B19" i="15"/>
  <c r="B20" i="15"/>
  <c r="B21" i="15"/>
  <c r="B22" i="15"/>
  <c r="B12" i="15"/>
  <c r="M171" i="15"/>
  <c r="J171" i="15"/>
  <c r="M168" i="15"/>
  <c r="J168" i="15"/>
  <c r="M167" i="15"/>
  <c r="J167" i="15"/>
  <c r="P164" i="15"/>
  <c r="O164" i="15"/>
  <c r="J164" i="15"/>
  <c r="P163" i="15"/>
  <c r="O163" i="15"/>
  <c r="J163" i="15"/>
  <c r="P162" i="15"/>
  <c r="O162" i="15"/>
  <c r="J162" i="15"/>
  <c r="O161" i="15"/>
  <c r="J161" i="15"/>
  <c r="S17" i="15"/>
  <c r="S16" i="15"/>
  <c r="S15" i="15"/>
  <c r="S13" i="15"/>
  <c r="S9" i="15"/>
  <c r="B9" i="15"/>
  <c r="D21" i="14"/>
  <c r="D20" i="14"/>
  <c r="D19" i="14"/>
  <c r="D18" i="14"/>
  <c r="D17" i="14"/>
  <c r="D16" i="14"/>
  <c r="D15" i="14"/>
  <c r="D14" i="14"/>
  <c r="D13" i="14"/>
  <c r="D12" i="14"/>
  <c r="D11" i="14"/>
  <c r="B12" i="14"/>
  <c r="B13" i="14"/>
  <c r="B14" i="14"/>
  <c r="B15" i="14"/>
  <c r="B16" i="14"/>
  <c r="B17" i="14"/>
  <c r="B18" i="14"/>
  <c r="B19" i="14"/>
  <c r="B20" i="14"/>
  <c r="B21" i="14"/>
  <c r="B11" i="14"/>
  <c r="B9" i="14"/>
  <c r="D67" i="13"/>
  <c r="D66" i="13"/>
  <c r="G62" i="13"/>
  <c r="G61" i="13"/>
  <c r="G68" i="13"/>
  <c r="D61" i="13"/>
  <c r="D69" i="13" s="1"/>
  <c r="D62" i="13"/>
  <c r="D70" i="13" s="1"/>
  <c r="D63" i="13"/>
  <c r="D71" i="13" s="1"/>
  <c r="D60" i="13"/>
  <c r="D68" i="13" s="1"/>
  <c r="G57" i="13"/>
  <c r="T13" i="15" l="1"/>
  <c r="G69" i="13"/>
  <c r="T15" i="15"/>
  <c r="G11" i="14"/>
  <c r="G12" i="14"/>
  <c r="G13" i="14"/>
  <c r="G14" i="14"/>
  <c r="G15" i="14"/>
  <c r="G16" i="14"/>
  <c r="G17" i="14"/>
  <c r="G18" i="14"/>
  <c r="G19" i="14"/>
  <c r="G20" i="14"/>
  <c r="G21" i="14"/>
  <c r="T16" i="15"/>
  <c r="G60" i="13"/>
  <c r="G66" i="13"/>
  <c r="G70" i="13"/>
  <c r="G25" i="15"/>
  <c r="G11" i="15" s="1"/>
  <c r="Q164" i="15"/>
  <c r="G29" i="15"/>
  <c r="G17" i="17"/>
  <c r="R321" i="16"/>
  <c r="AS317" i="16"/>
  <c r="BC6" i="16"/>
  <c r="AN6" i="16"/>
  <c r="AJ6" i="16"/>
  <c r="AH6" i="16"/>
  <c r="AK6" i="16"/>
  <c r="AL6" i="16" s="1"/>
  <c r="AL317" i="16" s="1"/>
  <c r="AM326" i="16" s="1"/>
  <c r="R317" i="16"/>
  <c r="R319" i="16" s="1"/>
  <c r="BM317" i="16"/>
  <c r="BN317" i="16"/>
  <c r="BF6" i="16"/>
  <c r="AY317" i="16"/>
  <c r="G337" i="16" s="1"/>
  <c r="BK317" i="16"/>
  <c r="O165" i="15"/>
  <c r="O168" i="15" s="1"/>
  <c r="T17" i="15"/>
  <c r="Q162" i="15"/>
  <c r="P161" i="15"/>
  <c r="P165" i="15" s="1"/>
  <c r="J12" i="15"/>
  <c r="J13" i="15" s="1"/>
  <c r="Q163" i="15"/>
  <c r="G59" i="13"/>
  <c r="Q165" i="15" l="1"/>
  <c r="T12" i="15"/>
  <c r="G23" i="14"/>
  <c r="G156" i="15"/>
  <c r="I17" i="15" s="1"/>
  <c r="O171" i="15"/>
  <c r="O167" i="15"/>
  <c r="G26" i="17"/>
  <c r="G25" i="17"/>
  <c r="BM318" i="16"/>
  <c r="BC317" i="16"/>
  <c r="BF317" i="16"/>
  <c r="AV317" i="16"/>
  <c r="G334" i="16" s="1"/>
  <c r="AW317" i="16"/>
  <c r="G335" i="16" s="1"/>
  <c r="AJ317" i="16"/>
  <c r="BD6" i="16"/>
  <c r="BJ6" i="16"/>
  <c r="BJ317" i="16" s="1"/>
  <c r="BJ318" i="16" s="1"/>
  <c r="BE6" i="16"/>
  <c r="BE317" i="16" s="1"/>
  <c r="AN317" i="16"/>
  <c r="AO6" i="16"/>
  <c r="AO317" i="16" s="1"/>
  <c r="AM327" i="16" s="1"/>
  <c r="AX317" i="16"/>
  <c r="G336" i="16" s="1"/>
  <c r="O173" i="15"/>
  <c r="Q161" i="15"/>
  <c r="G21" i="17" l="1"/>
  <c r="G159" i="15"/>
  <c r="I15" i="15"/>
  <c r="I13" i="15"/>
  <c r="I16" i="15"/>
  <c r="I14" i="15"/>
  <c r="I12" i="15"/>
  <c r="G158" i="15"/>
  <c r="G160" i="15" s="1"/>
  <c r="G157" i="15"/>
  <c r="P167" i="15" s="1"/>
  <c r="BD317" i="16"/>
  <c r="BH317" i="16" s="1"/>
  <c r="AZ317" i="16"/>
  <c r="AM328" i="16"/>
  <c r="AM331" i="16" s="1"/>
  <c r="AJ319" i="16"/>
  <c r="G338" i="16"/>
  <c r="G38" i="17" l="1"/>
  <c r="G40" i="17" s="1"/>
  <c r="G42" i="17" s="1"/>
  <c r="G161" i="15"/>
  <c r="D17" i="1" s="1"/>
  <c r="G26" i="14"/>
  <c r="G25" i="14"/>
  <c r="G27" i="14" s="1"/>
  <c r="G24" i="14"/>
  <c r="G39" i="17" l="1"/>
  <c r="G41" i="17"/>
  <c r="G163" i="15"/>
  <c r="P171" i="15" s="1"/>
  <c r="P173" i="15" s="1"/>
  <c r="Q173" i="15" s="1"/>
  <c r="G28" i="14"/>
  <c r="D16" i="1" s="1"/>
  <c r="G43" i="17" l="1"/>
  <c r="D18" i="1" s="1"/>
  <c r="G165" i="15"/>
  <c r="O175" i="15" s="1"/>
  <c r="O176" i="15" s="1"/>
  <c r="G30" i="14"/>
  <c r="G45" i="17" l="1"/>
  <c r="G47" i="17" s="1"/>
  <c r="G32" i="14"/>
  <c r="B8" i="1" l="1"/>
  <c r="B6" i="1"/>
  <c r="B5" i="1"/>
  <c r="G53" i="13"/>
  <c r="G52" i="13" l="1"/>
  <c r="G51" i="13" l="1"/>
  <c r="G54" i="13"/>
  <c r="G43" i="13" l="1"/>
  <c r="G47" i="13"/>
  <c r="G44" i="13"/>
  <c r="G46" i="13"/>
  <c r="G45" i="13"/>
  <c r="G49" i="13" l="1"/>
  <c r="G42" i="13"/>
  <c r="G31" i="13"/>
  <c r="G25" i="13"/>
  <c r="G41" i="13" l="1"/>
  <c r="G30" i="13"/>
  <c r="G48" i="13"/>
  <c r="G26" i="13"/>
  <c r="G27" i="13" l="1"/>
  <c r="G24" i="13" l="1"/>
  <c r="G28" i="13"/>
  <c r="G29" i="13"/>
  <c r="G39" i="13" l="1"/>
  <c r="G38" i="13"/>
  <c r="G37" i="13"/>
  <c r="G36" i="13"/>
  <c r="G35" i="13"/>
  <c r="M103" i="12"/>
  <c r="M100" i="12"/>
  <c r="M99" i="12"/>
  <c r="J103" i="12"/>
  <c r="J100" i="12"/>
  <c r="J99" i="12"/>
  <c r="O96" i="12"/>
  <c r="O95" i="12"/>
  <c r="O94" i="12"/>
  <c r="O93" i="12"/>
  <c r="J96" i="12"/>
  <c r="J95" i="12"/>
  <c r="J94" i="12"/>
  <c r="J93" i="12"/>
  <c r="E68" i="12"/>
  <c r="F75" i="12"/>
  <c r="G75" i="12" s="1"/>
  <c r="B75" i="12"/>
  <c r="C75" i="12"/>
  <c r="B77" i="12"/>
  <c r="F77" i="12"/>
  <c r="G77" i="12" s="1"/>
  <c r="C77" i="12"/>
  <c r="F76" i="12"/>
  <c r="G76" i="12" s="1"/>
  <c r="B76" i="12"/>
  <c r="C76" i="12"/>
  <c r="E74" i="12"/>
  <c r="E64" i="12"/>
  <c r="F74" i="12"/>
  <c r="C74" i="12"/>
  <c r="B74" i="12"/>
  <c r="F73" i="12"/>
  <c r="C73" i="12"/>
  <c r="B73" i="12"/>
  <c r="F72" i="12"/>
  <c r="E72" i="12"/>
  <c r="E73" i="12" s="1"/>
  <c r="C72" i="12"/>
  <c r="B72" i="12"/>
  <c r="F71" i="12"/>
  <c r="G71" i="12" s="1"/>
  <c r="C71" i="12"/>
  <c r="B71" i="12"/>
  <c r="F70" i="12"/>
  <c r="G70" i="12" s="1"/>
  <c r="F69" i="12"/>
  <c r="G69" i="12" s="1"/>
  <c r="C70" i="12"/>
  <c r="C69" i="12"/>
  <c r="B70" i="12"/>
  <c r="B69" i="12"/>
  <c r="F68" i="12"/>
  <c r="F67" i="12"/>
  <c r="G67" i="12" s="1"/>
  <c r="C68" i="12"/>
  <c r="C67" i="12"/>
  <c r="B68" i="12"/>
  <c r="B67" i="12"/>
  <c r="F66" i="12"/>
  <c r="G66" i="12" s="1"/>
  <c r="C66" i="12"/>
  <c r="B66" i="12"/>
  <c r="F65" i="12"/>
  <c r="E65" i="12"/>
  <c r="C65" i="12"/>
  <c r="B65" i="12"/>
  <c r="F64" i="12"/>
  <c r="C64" i="12"/>
  <c r="B64" i="12"/>
  <c r="F63" i="12"/>
  <c r="C63" i="12"/>
  <c r="F62" i="12"/>
  <c r="C62" i="12"/>
  <c r="B63" i="12"/>
  <c r="B62" i="12"/>
  <c r="B61" i="12"/>
  <c r="F60" i="12"/>
  <c r="C60" i="12"/>
  <c r="B60" i="12"/>
  <c r="E63" i="12"/>
  <c r="E62" i="12"/>
  <c r="E61" i="12"/>
  <c r="E60" i="12"/>
  <c r="F61" i="12"/>
  <c r="C61" i="12"/>
  <c r="D62" i="12"/>
  <c r="D63" i="12" s="1"/>
  <c r="F59" i="12"/>
  <c r="E59" i="12"/>
  <c r="C59" i="12"/>
  <c r="B59" i="12"/>
  <c r="F58" i="12"/>
  <c r="E58" i="12"/>
  <c r="D58" i="12"/>
  <c r="C58" i="12"/>
  <c r="B58" i="12"/>
  <c r="F24" i="12"/>
  <c r="C24" i="12"/>
  <c r="B24" i="12"/>
  <c r="G22" i="13" l="1"/>
  <c r="G58" i="13"/>
  <c r="G67" i="13"/>
  <c r="G63" i="13"/>
  <c r="G71" i="13"/>
  <c r="G68" i="12"/>
  <c r="O97" i="12"/>
  <c r="O99" i="12" s="1"/>
  <c r="D61" i="12"/>
  <c r="D64" i="12"/>
  <c r="D65" i="12" s="1"/>
  <c r="D66" i="12" s="1"/>
  <c r="D67" i="12" s="1"/>
  <c r="D68" i="12" s="1"/>
  <c r="D69" i="12" s="1"/>
  <c r="D70" i="12" s="1"/>
  <c r="D71" i="12" s="1"/>
  <c r="D72" i="12" s="1"/>
  <c r="D73" i="12" s="1"/>
  <c r="D74" i="12" s="1"/>
  <c r="G73" i="12"/>
  <c r="G72" i="12"/>
  <c r="G74" i="12"/>
  <c r="G65" i="12"/>
  <c r="G61" i="12"/>
  <c r="G64" i="12"/>
  <c r="G63" i="12"/>
  <c r="G58" i="12"/>
  <c r="G62" i="12"/>
  <c r="G60" i="12"/>
  <c r="G59" i="12"/>
  <c r="F13" i="12"/>
  <c r="G65" i="13" l="1"/>
  <c r="G56" i="13"/>
  <c r="P95" i="12"/>
  <c r="Q95" i="12" s="1"/>
  <c r="O100" i="12"/>
  <c r="O105" i="12" s="1"/>
  <c r="P94" i="12"/>
  <c r="Q94" i="12" s="1"/>
  <c r="O103" i="12"/>
  <c r="D75" i="12"/>
  <c r="D76" i="12"/>
  <c r="D77" i="12" s="1"/>
  <c r="P96" i="12"/>
  <c r="Q96" i="12" s="1"/>
  <c r="F82" i="12" l="1"/>
  <c r="C82" i="12"/>
  <c r="G109" i="12"/>
  <c r="F109" i="12"/>
  <c r="G108" i="12"/>
  <c r="F108" i="12"/>
  <c r="F89" i="12"/>
  <c r="E89" i="12"/>
  <c r="E84" i="12" s="1"/>
  <c r="D89" i="12"/>
  <c r="C89" i="12"/>
  <c r="B89" i="12"/>
  <c r="F88" i="12"/>
  <c r="D88" i="12"/>
  <c r="C88" i="12"/>
  <c r="B88" i="12"/>
  <c r="F87" i="12"/>
  <c r="D87" i="12"/>
  <c r="C87" i="12"/>
  <c r="B87" i="12"/>
  <c r="F86" i="12"/>
  <c r="D86" i="12"/>
  <c r="C86" i="12"/>
  <c r="B86" i="12"/>
  <c r="F85" i="12"/>
  <c r="C85" i="12"/>
  <c r="B85" i="12"/>
  <c r="F84" i="12"/>
  <c r="D84" i="12"/>
  <c r="C84" i="12"/>
  <c r="B84" i="12"/>
  <c r="F83" i="12"/>
  <c r="C83" i="12"/>
  <c r="B83" i="12"/>
  <c r="F81" i="12"/>
  <c r="D81" i="12"/>
  <c r="D83" i="12" s="1"/>
  <c r="C81" i="12"/>
  <c r="B81" i="12"/>
  <c r="F57" i="12"/>
  <c r="G57" i="12" s="1"/>
  <c r="D57" i="12"/>
  <c r="C57" i="12"/>
  <c r="B57" i="12"/>
  <c r="F56" i="12"/>
  <c r="G56" i="12" s="1"/>
  <c r="C56" i="12"/>
  <c r="B56" i="12"/>
  <c r="F55" i="12"/>
  <c r="G55" i="12" s="1"/>
  <c r="C55" i="12"/>
  <c r="B55" i="12"/>
  <c r="F54" i="12"/>
  <c r="G54" i="12" s="1"/>
  <c r="C54" i="12"/>
  <c r="B54" i="12"/>
  <c r="F53" i="12"/>
  <c r="G53" i="12" s="1"/>
  <c r="D53" i="12"/>
  <c r="D54" i="12" s="1"/>
  <c r="D55" i="12" s="1"/>
  <c r="D56" i="12" s="1"/>
  <c r="C53" i="12"/>
  <c r="B53" i="12"/>
  <c r="F52" i="12"/>
  <c r="G52" i="12" s="1"/>
  <c r="D52" i="12"/>
  <c r="C52" i="12"/>
  <c r="F51" i="12"/>
  <c r="G51" i="12" s="1"/>
  <c r="D51" i="12"/>
  <c r="C51" i="12"/>
  <c r="J50" i="12"/>
  <c r="F50" i="12"/>
  <c r="G50" i="12" s="1"/>
  <c r="D50" i="12"/>
  <c r="C50" i="12"/>
  <c r="J49" i="12"/>
  <c r="J51" i="12" s="1"/>
  <c r="F49" i="12"/>
  <c r="G49" i="12" s="1"/>
  <c r="D49" i="12"/>
  <c r="C49" i="12"/>
  <c r="F46" i="12"/>
  <c r="G46" i="12" s="1"/>
  <c r="D46" i="12"/>
  <c r="C46" i="12"/>
  <c r="F45" i="12"/>
  <c r="G45" i="12" s="1"/>
  <c r="D45" i="12"/>
  <c r="C45" i="12"/>
  <c r="F44" i="12"/>
  <c r="G44" i="12" s="1"/>
  <c r="D44" i="12"/>
  <c r="C44" i="12"/>
  <c r="F43" i="12"/>
  <c r="D43" i="12"/>
  <c r="C43" i="12"/>
  <c r="F42" i="12"/>
  <c r="E42" i="12"/>
  <c r="D42" i="12"/>
  <c r="C42" i="12"/>
  <c r="F41" i="12"/>
  <c r="E41" i="12"/>
  <c r="E43" i="12" s="1"/>
  <c r="D41" i="12"/>
  <c r="C41" i="12"/>
  <c r="F40" i="12"/>
  <c r="G40" i="12" s="1"/>
  <c r="D40" i="12"/>
  <c r="C40" i="12"/>
  <c r="F39" i="12"/>
  <c r="G39" i="12" s="1"/>
  <c r="D39" i="12"/>
  <c r="C39" i="12"/>
  <c r="F38" i="12"/>
  <c r="G38" i="12" s="1"/>
  <c r="D38" i="12"/>
  <c r="C38" i="12"/>
  <c r="C37" i="12"/>
  <c r="F35" i="12"/>
  <c r="D35" i="12"/>
  <c r="D33" i="12" s="1"/>
  <c r="D32" i="12" s="1"/>
  <c r="D30" i="12" s="1"/>
  <c r="D28" i="12" s="1"/>
  <c r="D22" i="12" s="1"/>
  <c r="C35" i="12"/>
  <c r="B35" i="12"/>
  <c r="F34" i="12"/>
  <c r="E34" i="12"/>
  <c r="E35" i="12" s="1"/>
  <c r="C34" i="12"/>
  <c r="F33" i="12"/>
  <c r="E33" i="12"/>
  <c r="C33" i="12"/>
  <c r="B33" i="12"/>
  <c r="F32" i="12"/>
  <c r="G32" i="12" s="1"/>
  <c r="C32" i="12"/>
  <c r="B32" i="12"/>
  <c r="F31" i="12"/>
  <c r="G31" i="12" s="1"/>
  <c r="C31" i="12"/>
  <c r="F30" i="12"/>
  <c r="G30" i="12" s="1"/>
  <c r="C30" i="12"/>
  <c r="B30" i="12"/>
  <c r="F29" i="12"/>
  <c r="G29" i="12" s="1"/>
  <c r="C29" i="12"/>
  <c r="F28" i="12"/>
  <c r="G28" i="12" s="1"/>
  <c r="C28" i="12"/>
  <c r="B28" i="12"/>
  <c r="F27" i="12"/>
  <c r="G27" i="12" s="1"/>
  <c r="C27" i="12"/>
  <c r="F26" i="12"/>
  <c r="G26" i="12" s="1"/>
  <c r="C26" i="12"/>
  <c r="B26" i="12"/>
  <c r="F25" i="12"/>
  <c r="G25" i="12" s="1"/>
  <c r="C25" i="12"/>
  <c r="B25" i="12"/>
  <c r="F23" i="12"/>
  <c r="G23" i="12" s="1"/>
  <c r="D23" i="12"/>
  <c r="D26" i="12" s="1"/>
  <c r="B23" i="12"/>
  <c r="F22" i="12"/>
  <c r="G22" i="12" s="1"/>
  <c r="C22" i="12"/>
  <c r="B22" i="12"/>
  <c r="F21" i="12"/>
  <c r="G21" i="12" s="1"/>
  <c r="C21" i="12"/>
  <c r="F20" i="12"/>
  <c r="G20" i="12" s="1"/>
  <c r="C20" i="12"/>
  <c r="B20" i="12"/>
  <c r="F19" i="12"/>
  <c r="G19" i="12" s="1"/>
  <c r="C19" i="12"/>
  <c r="F17" i="12"/>
  <c r="G17" i="12" s="1"/>
  <c r="C17" i="12"/>
  <c r="F16" i="12"/>
  <c r="G16" i="12" s="1"/>
  <c r="D16" i="12"/>
  <c r="C16" i="12"/>
  <c r="B16" i="12"/>
  <c r="C13" i="12"/>
  <c r="F12" i="12"/>
  <c r="C12" i="12"/>
  <c r="F11" i="12"/>
  <c r="C11" i="12"/>
  <c r="F10" i="12"/>
  <c r="G10" i="12" s="1"/>
  <c r="D10" i="12"/>
  <c r="C10" i="12"/>
  <c r="B10" i="12"/>
  <c r="F9" i="12"/>
  <c r="C9" i="12"/>
  <c r="E24" i="12"/>
  <c r="G42" i="12" l="1"/>
  <c r="G35" i="12"/>
  <c r="D82" i="12"/>
  <c r="G43" i="12"/>
  <c r="I108" i="12"/>
  <c r="G33" i="12"/>
  <c r="I109" i="12"/>
  <c r="G34" i="12"/>
  <c r="G89" i="12"/>
  <c r="G110" i="12"/>
  <c r="G116" i="12" s="1"/>
  <c r="G24" i="12"/>
  <c r="G15" i="12" s="1"/>
  <c r="D25" i="12"/>
  <c r="D20" i="12"/>
  <c r="G41" i="12"/>
  <c r="D85" i="12"/>
  <c r="G84" i="12"/>
  <c r="G37" i="12" l="1"/>
  <c r="E51" i="6" l="1"/>
  <c r="B4" i="3" l="1"/>
  <c r="B3" i="3"/>
  <c r="C24" i="3" l="1"/>
  <c r="C23" i="3"/>
  <c r="C20" i="3"/>
  <c r="H39" i="3"/>
  <c r="E15" i="3" l="1"/>
  <c r="E24" i="3"/>
  <c r="E23" i="3"/>
  <c r="E20" i="3"/>
  <c r="F27" i="3"/>
  <c r="G40" i="3"/>
  <c r="H40" i="3" s="1"/>
  <c r="C22" i="3"/>
  <c r="C19" i="3"/>
  <c r="E24" i="6" l="1"/>
  <c r="E22" i="3"/>
  <c r="E21" i="3" l="1"/>
  <c r="E19" i="3"/>
  <c r="D17" i="4"/>
  <c r="D18" i="4" s="1"/>
  <c r="D17" i="2"/>
  <c r="D18" i="2" s="1"/>
  <c r="E81" i="12" l="1"/>
  <c r="F12" i="4"/>
  <c r="F32" i="6"/>
  <c r="F30" i="6"/>
  <c r="F28" i="6"/>
  <c r="F27" i="6"/>
  <c r="F26" i="6"/>
  <c r="F37" i="4"/>
  <c r="G81" i="12" l="1"/>
  <c r="F38" i="4"/>
  <c r="E16" i="3" l="1"/>
  <c r="G52" i="3"/>
  <c r="G51" i="3"/>
  <c r="H51" i="3" s="1"/>
  <c r="F24" i="3" s="1"/>
  <c r="G24" i="3" s="1"/>
  <c r="G50" i="3"/>
  <c r="H50" i="3" s="1"/>
  <c r="F23" i="3" s="1"/>
  <c r="G23" i="3" s="1"/>
  <c r="G49" i="3"/>
  <c r="H49" i="3" s="1"/>
  <c r="F22" i="3" s="1"/>
  <c r="G48" i="3"/>
  <c r="H48" i="3" s="1"/>
  <c r="F21" i="3" s="1"/>
  <c r="G41" i="3"/>
  <c r="G42" i="3"/>
  <c r="G43" i="3"/>
  <c r="G44" i="3"/>
  <c r="G45" i="3"/>
  <c r="G46" i="3"/>
  <c r="G47" i="3"/>
  <c r="H47" i="3" s="1"/>
  <c r="F20" i="3" s="1"/>
  <c r="G20" i="3" s="1"/>
  <c r="F14" i="3"/>
  <c r="H41" i="6"/>
  <c r="F15" i="3" l="1"/>
  <c r="H42" i="3"/>
  <c r="F13" i="3"/>
  <c r="H41" i="3"/>
  <c r="F19" i="3"/>
  <c r="G19" i="3" s="1"/>
  <c r="H46" i="3"/>
  <c r="F18" i="3"/>
  <c r="H45" i="3"/>
  <c r="F17" i="3"/>
  <c r="H44" i="3"/>
  <c r="G22" i="3"/>
  <c r="H52" i="3"/>
  <c r="F16" i="3"/>
  <c r="H43" i="3"/>
  <c r="I104" i="6"/>
  <c r="I103" i="6"/>
  <c r="I102" i="6"/>
  <c r="I101" i="6"/>
  <c r="I100" i="6"/>
  <c r="I99" i="6"/>
  <c r="I98" i="6"/>
  <c r="I97" i="6"/>
  <c r="I96" i="6"/>
  <c r="G105" i="6"/>
  <c r="H101" i="6" s="1"/>
  <c r="H83" i="6"/>
  <c r="H88" i="6"/>
  <c r="H87" i="6"/>
  <c r="H86" i="6"/>
  <c r="H85" i="6"/>
  <c r="H84" i="6"/>
  <c r="H98" i="6" l="1"/>
  <c r="G38" i="4"/>
  <c r="G37" i="4" s="1"/>
  <c r="F31" i="6"/>
  <c r="E15" i="6" s="1"/>
  <c r="F29" i="6"/>
  <c r="E13" i="6" s="1"/>
  <c r="J98" i="6"/>
  <c r="H102" i="6"/>
  <c r="J102" i="6" s="1"/>
  <c r="J101" i="6"/>
  <c r="H89" i="6"/>
  <c r="H103" i="6"/>
  <c r="J103" i="6" s="1"/>
  <c r="H96" i="6"/>
  <c r="J96" i="6" s="1"/>
  <c r="H100" i="6"/>
  <c r="J100" i="6" s="1"/>
  <c r="H104" i="6"/>
  <c r="J104" i="6" s="1"/>
  <c r="H99" i="6"/>
  <c r="J99" i="6" s="1"/>
  <c r="H97" i="6"/>
  <c r="J97" i="6" s="1"/>
  <c r="E12" i="4" l="1"/>
  <c r="E9" i="2"/>
  <c r="H105" i="6"/>
  <c r="J105" i="6"/>
  <c r="K106" i="6" l="1"/>
  <c r="K105" i="6"/>
  <c r="H37" i="6"/>
  <c r="F70" i="6"/>
  <c r="G70" i="6" l="1"/>
  <c r="H70" i="6" s="1"/>
  <c r="I70" i="6" s="1"/>
  <c r="F73" i="6" l="1"/>
  <c r="E13" i="3" l="1"/>
  <c r="I13" i="3" s="1"/>
  <c r="C18" i="3" l="1"/>
  <c r="C17" i="3"/>
  <c r="C16" i="3"/>
  <c r="C15" i="3"/>
  <c r="C21" i="3"/>
  <c r="F72" i="6" l="1"/>
  <c r="H39" i="6" l="1"/>
  <c r="G72" i="6" s="1"/>
  <c r="H72" i="6" s="1"/>
  <c r="I72" i="6" s="1"/>
  <c r="H38" i="6" l="1"/>
  <c r="F71" i="6"/>
  <c r="G71" i="6" l="1"/>
  <c r="H71" i="6" s="1"/>
  <c r="I71" i="6" s="1"/>
  <c r="E17" i="3"/>
  <c r="E18" i="3"/>
  <c r="G21" i="3"/>
  <c r="F74" i="6" l="1"/>
  <c r="G42" i="4"/>
  <c r="G17" i="3"/>
  <c r="G41" i="4"/>
  <c r="D33" i="6" l="1"/>
  <c r="B3" i="4"/>
  <c r="B3" i="6" s="1"/>
  <c r="B3" i="2" s="1"/>
  <c r="A3" i="11" s="1"/>
  <c r="B2" i="4"/>
  <c r="B2" i="6" s="1"/>
  <c r="B2" i="2" s="1"/>
  <c r="A2" i="11" s="1"/>
  <c r="G40" i="4" l="1"/>
  <c r="G15" i="3"/>
  <c r="C1149" i="10" l="1"/>
  <c r="C1108" i="10"/>
  <c r="C1067" i="10"/>
  <c r="E481" i="10" l="1"/>
  <c r="C1222" i="10"/>
  <c r="F1222" i="10" s="1"/>
  <c r="C903" i="10"/>
  <c r="E208" i="10" l="1"/>
  <c r="E169" i="10" l="1"/>
  <c r="E130" i="10"/>
  <c r="D1754" i="10"/>
  <c r="E1749" i="10"/>
  <c r="E1748" i="10"/>
  <c r="E1747" i="10"/>
  <c r="E1746" i="10"/>
  <c r="E1745" i="10"/>
  <c r="C1738" i="10"/>
  <c r="D1714" i="10"/>
  <c r="C1698" i="10"/>
  <c r="D1674" i="10"/>
  <c r="C1658" i="10"/>
  <c r="D1634" i="10"/>
  <c r="C1618" i="10"/>
  <c r="D1594" i="10"/>
  <c r="C1578" i="10"/>
  <c r="D1554" i="10"/>
  <c r="C1538" i="10"/>
  <c r="D1514" i="10"/>
  <c r="C1498" i="10"/>
  <c r="D1474" i="10"/>
  <c r="C1458" i="10"/>
  <c r="F1458" i="10" s="1"/>
  <c r="E1426" i="10"/>
  <c r="E1387" i="10"/>
  <c r="E1348" i="10"/>
  <c r="E1309" i="10"/>
  <c r="D1278" i="10"/>
  <c r="C1270" i="10"/>
  <c r="C1269" i="10"/>
  <c r="D1198" i="10"/>
  <c r="E1189" i="10"/>
  <c r="C1182" i="10"/>
  <c r="D1158" i="10"/>
  <c r="E1154" i="10"/>
  <c r="E1153" i="10"/>
  <c r="E1152" i="10"/>
  <c r="E1151" i="10"/>
  <c r="E1150" i="10"/>
  <c r="E1149" i="10"/>
  <c r="E1148" i="10"/>
  <c r="C1142" i="10"/>
  <c r="C1141" i="10"/>
  <c r="D1117" i="10"/>
  <c r="E1113" i="10"/>
  <c r="E1112" i="10"/>
  <c r="E1111" i="10"/>
  <c r="E1110" i="10"/>
  <c r="E1109" i="10"/>
  <c r="E1108" i="10"/>
  <c r="E1107" i="10"/>
  <c r="C1101" i="10"/>
  <c r="C1100" i="10"/>
  <c r="D1076" i="10"/>
  <c r="E1072" i="10"/>
  <c r="E1071" i="10"/>
  <c r="E1070" i="10"/>
  <c r="E1069" i="10"/>
  <c r="E1068" i="10"/>
  <c r="E1067" i="10"/>
  <c r="E1066" i="10"/>
  <c r="C1060" i="10"/>
  <c r="C1059" i="10"/>
  <c r="D1035" i="10"/>
  <c r="C1020" i="10"/>
  <c r="D996" i="10"/>
  <c r="E988" i="10"/>
  <c r="C981" i="10"/>
  <c r="D957" i="10"/>
  <c r="C942" i="10"/>
  <c r="D879" i="10"/>
  <c r="E871" i="10"/>
  <c r="C864" i="10"/>
  <c r="D840" i="10"/>
  <c r="E832" i="10"/>
  <c r="C825" i="10"/>
  <c r="D801" i="10"/>
  <c r="C786" i="10"/>
  <c r="D762" i="10"/>
  <c r="C747" i="10"/>
  <c r="D723" i="10"/>
  <c r="E715" i="10"/>
  <c r="C708" i="10"/>
  <c r="D684" i="10"/>
  <c r="E676" i="10"/>
  <c r="C669" i="10"/>
  <c r="D645" i="10"/>
  <c r="C630" i="10"/>
  <c r="D606" i="10"/>
  <c r="C591" i="10"/>
  <c r="D567" i="10"/>
  <c r="C552" i="10"/>
  <c r="D528" i="10"/>
  <c r="C513" i="10"/>
  <c r="D489" i="10"/>
  <c r="C475" i="10"/>
  <c r="C474" i="10"/>
  <c r="E456" i="10"/>
  <c r="D450" i="10"/>
  <c r="C436" i="10"/>
  <c r="C435" i="10"/>
  <c r="E417" i="10"/>
  <c r="D411" i="10"/>
  <c r="C396" i="10"/>
  <c r="D372" i="10"/>
  <c r="D333" i="10"/>
  <c r="E325" i="10"/>
  <c r="D294" i="10"/>
  <c r="E286" i="10"/>
  <c r="D255" i="10"/>
  <c r="E247" i="10"/>
  <c r="D216" i="10"/>
  <c r="D177" i="10"/>
  <c r="E91" i="10"/>
  <c r="E52" i="10"/>
  <c r="E13" i="10"/>
  <c r="F1749" i="10" l="1"/>
  <c r="F1748" i="10"/>
  <c r="F1747" i="10"/>
  <c r="F1746" i="10"/>
  <c r="F1745" i="10"/>
  <c r="F1714" i="10" l="1"/>
  <c r="F1717" i="10" s="1"/>
  <c r="F1711" i="10"/>
  <c r="F1698" i="10"/>
  <c r="F1702" i="10" s="1"/>
  <c r="F1674" i="10"/>
  <c r="F1677" i="10" s="1"/>
  <c r="F1671" i="10"/>
  <c r="F1658" i="10"/>
  <c r="F1662" i="10" s="1"/>
  <c r="F1634" i="10"/>
  <c r="F1637" i="10" s="1"/>
  <c r="F1631" i="10"/>
  <c r="F1618" i="10"/>
  <c r="F1622" i="10" s="1"/>
  <c r="F1594" i="10"/>
  <c r="F1597" i="10" s="1"/>
  <c r="F1591" i="10"/>
  <c r="F1578" i="10"/>
  <c r="F1582" i="10" s="1"/>
  <c r="F1474" i="10"/>
  <c r="F1477" i="10" s="1"/>
  <c r="F1471" i="10"/>
  <c r="F1462" i="10"/>
  <c r="F1514" i="10"/>
  <c r="F1517" i="10" s="1"/>
  <c r="F1511" i="10"/>
  <c r="F1498" i="10"/>
  <c r="F1502" i="10" s="1"/>
  <c r="F1554" i="10"/>
  <c r="F1557" i="10" s="1"/>
  <c r="F1551" i="10"/>
  <c r="F1538" i="10"/>
  <c r="F1542" i="10" s="1"/>
  <c r="F1754" i="10"/>
  <c r="F1757" i="10" s="1"/>
  <c r="F1751" i="10"/>
  <c r="F1738" i="10"/>
  <c r="F1742" i="10" s="1"/>
  <c r="F1348" i="10"/>
  <c r="F1353" i="10" s="1"/>
  <c r="F1366" i="10" s="1"/>
  <c r="F1345" i="10"/>
  <c r="F1387" i="10"/>
  <c r="F1392" i="10" s="1"/>
  <c r="F1405" i="10" s="1"/>
  <c r="F1384" i="10"/>
  <c r="F1426" i="10"/>
  <c r="F1431" i="10" s="1"/>
  <c r="F1444" i="10" s="1"/>
  <c r="F1423" i="10"/>
  <c r="F1309" i="10"/>
  <c r="F1314" i="10" s="1"/>
  <c r="F1327" i="10" s="1"/>
  <c r="F1306" i="10"/>
  <c r="F1158" i="10"/>
  <c r="F1035" i="10"/>
  <c r="F1038" i="10" s="1"/>
  <c r="F1027" i="10"/>
  <c r="F1032" i="10" s="1"/>
  <c r="F1020" i="10"/>
  <c r="F1024" i="10" s="1"/>
  <c r="F988" i="10"/>
  <c r="F993" i="10" s="1"/>
  <c r="F996" i="10"/>
  <c r="F999" i="10" s="1"/>
  <c r="F981" i="10"/>
  <c r="F985" i="10" s="1"/>
  <c r="F957" i="10"/>
  <c r="F960" i="10" s="1"/>
  <c r="F954" i="10"/>
  <c r="F942" i="10"/>
  <c r="F946" i="10" s="1"/>
  <c r="F903" i="10"/>
  <c r="F907" i="10" s="1"/>
  <c r="F921" i="10"/>
  <c r="F915" i="10"/>
  <c r="F879" i="10"/>
  <c r="F882" i="10" s="1"/>
  <c r="F871" i="10"/>
  <c r="F876" i="10" s="1"/>
  <c r="F864" i="10"/>
  <c r="F868" i="10" s="1"/>
  <c r="F832" i="10"/>
  <c r="F837" i="10" s="1"/>
  <c r="F840" i="10"/>
  <c r="F843" i="10" s="1"/>
  <c r="F825" i="10"/>
  <c r="F829" i="10" s="1"/>
  <c r="F801" i="10"/>
  <c r="F804" i="10" s="1"/>
  <c r="F798" i="10"/>
  <c r="F786" i="10"/>
  <c r="F790" i="10" s="1"/>
  <c r="F762" i="10"/>
  <c r="F765" i="10" s="1"/>
  <c r="F747" i="10"/>
  <c r="F751" i="10" s="1"/>
  <c r="F759" i="10"/>
  <c r="F723" i="10"/>
  <c r="F726" i="10" s="1"/>
  <c r="F715" i="10"/>
  <c r="F720" i="10" s="1"/>
  <c r="F708" i="10"/>
  <c r="F712" i="10" s="1"/>
  <c r="F676" i="10"/>
  <c r="F681" i="10" s="1"/>
  <c r="F1724" i="10" l="1"/>
  <c r="F16" i="6" s="1"/>
  <c r="F1684" i="10"/>
  <c r="F1644" i="10"/>
  <c r="F1604" i="10"/>
  <c r="F13" i="6" s="1"/>
  <c r="F1484" i="10"/>
  <c r="F10" i="6" s="1"/>
  <c r="F1524" i="10"/>
  <c r="F11" i="6" s="1"/>
  <c r="F1564" i="10"/>
  <c r="F12" i="6" s="1"/>
  <c r="F1764" i="10"/>
  <c r="F9" i="2" s="1"/>
  <c r="G9" i="2" s="1"/>
  <c r="F1372" i="10"/>
  <c r="F1369" i="10"/>
  <c r="F1411" i="10"/>
  <c r="F1408" i="10"/>
  <c r="F811" i="10"/>
  <c r="F1450" i="10"/>
  <c r="F1447" i="10"/>
  <c r="F1333" i="10"/>
  <c r="F1330" i="10"/>
  <c r="F1045" i="10"/>
  <c r="F1006" i="10"/>
  <c r="F967" i="10"/>
  <c r="F928" i="10"/>
  <c r="F889" i="10"/>
  <c r="F850" i="10"/>
  <c r="F772" i="10"/>
  <c r="F733" i="10"/>
  <c r="F606" i="10"/>
  <c r="F609" i="10" s="1"/>
  <c r="F591" i="10"/>
  <c r="F595" i="10" s="1"/>
  <c r="F567" i="10"/>
  <c r="F570" i="10" s="1"/>
  <c r="F552" i="10"/>
  <c r="F556" i="10" s="1"/>
  <c r="F528" i="10"/>
  <c r="F531" i="10" s="1"/>
  <c r="F513" i="10"/>
  <c r="F517" i="10" s="1"/>
  <c r="F481" i="10"/>
  <c r="F486" i="10" s="1"/>
  <c r="F497" i="10"/>
  <c r="F489" i="10"/>
  <c r="F492" i="10" s="1"/>
  <c r="F475" i="10"/>
  <c r="F474" i="10"/>
  <c r="F436" i="10"/>
  <c r="I1477" i="10" l="1"/>
  <c r="H765" i="10"/>
  <c r="H999" i="10"/>
  <c r="F1373" i="10"/>
  <c r="F1374" i="10" s="1"/>
  <c r="F1412" i="10"/>
  <c r="F1413" i="10" s="1"/>
  <c r="F1010" i="10"/>
  <c r="F1689" i="10"/>
  <c r="F15" i="6"/>
  <c r="F776" i="10"/>
  <c r="F855" i="10"/>
  <c r="F1649" i="10"/>
  <c r="F14" i="6"/>
  <c r="F894" i="10"/>
  <c r="F1049" i="10"/>
  <c r="F737" i="10"/>
  <c r="F814" i="10"/>
  <c r="F1334" i="10"/>
  <c r="F1335" i="10" s="1"/>
  <c r="F815" i="10"/>
  <c r="F1729" i="10"/>
  <c r="F1728" i="10"/>
  <c r="F1727" i="10"/>
  <c r="F1687" i="10"/>
  <c r="F1688" i="10"/>
  <c r="F1647" i="10"/>
  <c r="F1648" i="10"/>
  <c r="F1609" i="10"/>
  <c r="F1608" i="10"/>
  <c r="F1607" i="10"/>
  <c r="F1487" i="10"/>
  <c r="F1489" i="10"/>
  <c r="F1488" i="10"/>
  <c r="F1529" i="10"/>
  <c r="F1528" i="10"/>
  <c r="F1527" i="10"/>
  <c r="F1569" i="10"/>
  <c r="F1568" i="10"/>
  <c r="F1567" i="10"/>
  <c r="F1769" i="10"/>
  <c r="F1768" i="10"/>
  <c r="F1767" i="10"/>
  <c r="F816" i="10"/>
  <c r="F478" i="10"/>
  <c r="F499" i="10" s="1"/>
  <c r="F616" i="10"/>
  <c r="F1451" i="10"/>
  <c r="F1452" i="10" s="1"/>
  <c r="F1050" i="10"/>
  <c r="F1048" i="10"/>
  <c r="F1011" i="10"/>
  <c r="F1009" i="10"/>
  <c r="F970" i="10"/>
  <c r="F972" i="10"/>
  <c r="F971" i="10"/>
  <c r="F931" i="10"/>
  <c r="F933" i="10"/>
  <c r="F932" i="10"/>
  <c r="F892" i="10"/>
  <c r="F893" i="10"/>
  <c r="F853" i="10"/>
  <c r="F854" i="10"/>
  <c r="F777" i="10"/>
  <c r="F775" i="10"/>
  <c r="F738" i="10"/>
  <c r="F736" i="10"/>
  <c r="F621" i="10"/>
  <c r="F577" i="10"/>
  <c r="F538" i="10"/>
  <c r="F456" i="10"/>
  <c r="F458" i="10" s="1"/>
  <c r="F450" i="10"/>
  <c r="F453" i="10" s="1"/>
  <c r="F447" i="10"/>
  <c r="F435" i="10"/>
  <c r="F439" i="10" s="1"/>
  <c r="H570" i="10" l="1"/>
  <c r="F502" i="10"/>
  <c r="F620" i="10"/>
  <c r="F1052" i="10"/>
  <c r="F1053" i="10" s="1"/>
  <c r="F818" i="10"/>
  <c r="F819" i="10" s="1"/>
  <c r="F1771" i="10"/>
  <c r="F1772" i="10" s="1"/>
  <c r="F1731" i="10"/>
  <c r="F1732" i="10" s="1"/>
  <c r="F1691" i="10"/>
  <c r="F1692" i="10" s="1"/>
  <c r="F1651" i="10"/>
  <c r="F1652" i="10" s="1"/>
  <c r="F1611" i="10"/>
  <c r="F1612" i="10" s="1"/>
  <c r="F1571" i="10"/>
  <c r="F1572" i="10" s="1"/>
  <c r="F1491" i="10"/>
  <c r="F1492" i="10" s="1"/>
  <c r="F1531" i="10"/>
  <c r="F1532" i="10" s="1"/>
  <c r="F896" i="10"/>
  <c r="F897" i="10" s="1"/>
  <c r="F619" i="10"/>
  <c r="F1013" i="10"/>
  <c r="F1014" i="10" s="1"/>
  <c r="F974" i="10"/>
  <c r="F975" i="10" s="1"/>
  <c r="F935" i="10"/>
  <c r="F936" i="10" s="1"/>
  <c r="F857" i="10"/>
  <c r="F858" i="10" s="1"/>
  <c r="F779" i="10"/>
  <c r="F780" i="10" s="1"/>
  <c r="F740" i="10"/>
  <c r="F741" i="10" s="1"/>
  <c r="F581" i="10"/>
  <c r="F580" i="10"/>
  <c r="F582" i="10"/>
  <c r="F542" i="10"/>
  <c r="F541" i="10"/>
  <c r="F543" i="10"/>
  <c r="F503" i="10"/>
  <c r="F504" i="10"/>
  <c r="F460" i="10"/>
  <c r="F417" i="10"/>
  <c r="F419" i="10" s="1"/>
  <c r="F411" i="10"/>
  <c r="F414" i="10" s="1"/>
  <c r="F408" i="10"/>
  <c r="F396" i="10"/>
  <c r="F400" i="10" s="1"/>
  <c r="F372" i="10"/>
  <c r="F375" i="10" s="1"/>
  <c r="F369" i="10"/>
  <c r="F357" i="10"/>
  <c r="F361" i="10" s="1"/>
  <c r="F333" i="10"/>
  <c r="F336" i="10" s="1"/>
  <c r="F325" i="10"/>
  <c r="F330" i="10" s="1"/>
  <c r="F318" i="10"/>
  <c r="F322" i="10" s="1"/>
  <c r="F294" i="10"/>
  <c r="F297" i="10" s="1"/>
  <c r="F286" i="10"/>
  <c r="F291" i="10" s="1"/>
  <c r="F279" i="10"/>
  <c r="F283" i="10" s="1"/>
  <c r="F255" i="10"/>
  <c r="F258" i="10" s="1"/>
  <c r="F247" i="10"/>
  <c r="F252" i="10" s="1"/>
  <c r="F240" i="10"/>
  <c r="F244" i="10" s="1"/>
  <c r="F216" i="10"/>
  <c r="F219" i="10" s="1"/>
  <c r="F208" i="10"/>
  <c r="F213" i="10" s="1"/>
  <c r="F201" i="10"/>
  <c r="F205" i="10" s="1"/>
  <c r="F177" i="10"/>
  <c r="F180" i="10" s="1"/>
  <c r="F169" i="10"/>
  <c r="F174" i="10" s="1"/>
  <c r="F162" i="10"/>
  <c r="F166" i="10" s="1"/>
  <c r="F226" i="10" l="1"/>
  <c r="F623" i="10"/>
  <c r="F624" i="10" s="1"/>
  <c r="F463" i="10"/>
  <c r="F187" i="10"/>
  <c r="F584" i="10"/>
  <c r="F585" i="10" s="1"/>
  <c r="F545" i="10"/>
  <c r="F546" i="10" s="1"/>
  <c r="F506" i="10"/>
  <c r="F507" i="10" s="1"/>
  <c r="F464" i="10"/>
  <c r="F465" i="10"/>
  <c r="F421" i="10"/>
  <c r="F382" i="10"/>
  <c r="F343" i="10"/>
  <c r="F304" i="10"/>
  <c r="F265" i="10"/>
  <c r="H375" i="10" l="1"/>
  <c r="H180" i="10"/>
  <c r="F190" i="10"/>
  <c r="F467" i="10"/>
  <c r="F468" i="10" s="1"/>
  <c r="F424" i="10"/>
  <c r="F426" i="10"/>
  <c r="F425" i="10"/>
  <c r="F387" i="10"/>
  <c r="F386" i="10"/>
  <c r="F385" i="10"/>
  <c r="F348" i="10"/>
  <c r="F346" i="10"/>
  <c r="F347" i="10"/>
  <c r="F309" i="10"/>
  <c r="F308" i="10"/>
  <c r="F307" i="10"/>
  <c r="F270" i="10"/>
  <c r="F269" i="10"/>
  <c r="F268" i="10"/>
  <c r="F231" i="10"/>
  <c r="F230" i="10"/>
  <c r="F229" i="10"/>
  <c r="F191" i="10"/>
  <c r="F192" i="10"/>
  <c r="F91" i="10"/>
  <c r="F96" i="10" s="1"/>
  <c r="F109" i="10" s="1"/>
  <c r="F88" i="10"/>
  <c r="F52" i="10"/>
  <c r="F57" i="10" s="1"/>
  <c r="F70" i="10" s="1"/>
  <c r="F49" i="10"/>
  <c r="F127" i="10"/>
  <c r="F130" i="10"/>
  <c r="F135" i="10" s="1"/>
  <c r="F148" i="10" s="1"/>
  <c r="F1278" i="10"/>
  <c r="F1281" i="10" s="1"/>
  <c r="F1270" i="10"/>
  <c r="F1269" i="10"/>
  <c r="F1262" i="10"/>
  <c r="F1266" i="10" s="1"/>
  <c r="F1241" i="10"/>
  <c r="F1235" i="10"/>
  <c r="F1226" i="10"/>
  <c r="F1198" i="10"/>
  <c r="F1201" i="10" s="1"/>
  <c r="F1189" i="10"/>
  <c r="F1195" i="10" s="1"/>
  <c r="F1182" i="10"/>
  <c r="F1186" i="10" s="1"/>
  <c r="F1161" i="10"/>
  <c r="F1154" i="10"/>
  <c r="F1153" i="10"/>
  <c r="F1152" i="10"/>
  <c r="F1151" i="10"/>
  <c r="F1150" i="10"/>
  <c r="F1149" i="10"/>
  <c r="F1148" i="10"/>
  <c r="F1142" i="10"/>
  <c r="F1141" i="10"/>
  <c r="F1120" i="10"/>
  <c r="F1113" i="10"/>
  <c r="F1112" i="10"/>
  <c r="F1111" i="10"/>
  <c r="F1110" i="10"/>
  <c r="F1109" i="10"/>
  <c r="F1108" i="10"/>
  <c r="F1107" i="10"/>
  <c r="F1101" i="10"/>
  <c r="F1100" i="10"/>
  <c r="F1079" i="10"/>
  <c r="F1072" i="10"/>
  <c r="F1071" i="10"/>
  <c r="F1070" i="10"/>
  <c r="F1069" i="10"/>
  <c r="F1068" i="10"/>
  <c r="F1067" i="10"/>
  <c r="F1066" i="10"/>
  <c r="F1060" i="10"/>
  <c r="F1059" i="10"/>
  <c r="F684" i="10"/>
  <c r="F687" i="10" s="1"/>
  <c r="F669" i="10"/>
  <c r="F673" i="10" s="1"/>
  <c r="F645" i="10"/>
  <c r="F648" i="10" s="1"/>
  <c r="F630" i="10"/>
  <c r="F634" i="10" s="1"/>
  <c r="F13" i="10"/>
  <c r="F18" i="10" s="1"/>
  <c r="F31" i="10" s="1"/>
  <c r="F10" i="10"/>
  <c r="F1145" i="10" l="1"/>
  <c r="F1104" i="10"/>
  <c r="F1063" i="10"/>
  <c r="F37" i="10"/>
  <c r="F1114" i="10"/>
  <c r="F694" i="10"/>
  <c r="F1275" i="10"/>
  <c r="F1288" i="10" s="1"/>
  <c r="F1073" i="10"/>
  <c r="F1248" i="10"/>
  <c r="F1252" i="10" s="1"/>
  <c r="F655" i="10"/>
  <c r="F1155" i="10"/>
  <c r="F1208" i="10"/>
  <c r="F428" i="10"/>
  <c r="F429" i="10" s="1"/>
  <c r="F389" i="10"/>
  <c r="F390" i="10" s="1"/>
  <c r="F350" i="10"/>
  <c r="F351" i="10" s="1"/>
  <c r="F311" i="10"/>
  <c r="F312" i="10" s="1"/>
  <c r="F272" i="10"/>
  <c r="F273" i="10" s="1"/>
  <c r="F233" i="10"/>
  <c r="F234" i="10" s="1"/>
  <c r="F194" i="10"/>
  <c r="F195" i="10" s="1"/>
  <c r="F115" i="10"/>
  <c r="F112" i="10"/>
  <c r="F76" i="10"/>
  <c r="F73" i="10"/>
  <c r="F154" i="10"/>
  <c r="F151" i="10"/>
  <c r="F34" i="10"/>
  <c r="H687" i="10" l="1"/>
  <c r="F1168" i="10"/>
  <c r="F1291" i="10"/>
  <c r="F659" i="10"/>
  <c r="F1253" i="10"/>
  <c r="F697" i="10"/>
  <c r="F1211" i="10"/>
  <c r="F1251" i="10"/>
  <c r="F77" i="10"/>
  <c r="F78" i="10" s="1"/>
  <c r="F699" i="10"/>
  <c r="F1213" i="10"/>
  <c r="F1127" i="10"/>
  <c r="F1086" i="10"/>
  <c r="F660" i="10"/>
  <c r="F658" i="10"/>
  <c r="F1292" i="10"/>
  <c r="F1293" i="10"/>
  <c r="F1212" i="10"/>
  <c r="F698" i="10"/>
  <c r="F116" i="10"/>
  <c r="F117" i="10" s="1"/>
  <c r="F38" i="10"/>
  <c r="F39" i="10" s="1"/>
  <c r="F155" i="10"/>
  <c r="F156" i="10" s="1"/>
  <c r="I1079" i="10" l="1"/>
  <c r="F1172" i="10"/>
  <c r="F1171" i="10"/>
  <c r="F1255" i="10"/>
  <c r="F1256" i="10" s="1"/>
  <c r="F1215" i="10"/>
  <c r="F1216" i="10" s="1"/>
  <c r="F1173" i="10"/>
  <c r="F1130" i="10"/>
  <c r="F1089" i="10"/>
  <c r="F701" i="10"/>
  <c r="F702" i="10" s="1"/>
  <c r="F1132" i="10"/>
  <c r="F1131" i="10"/>
  <c r="F1090" i="10"/>
  <c r="F1091" i="10"/>
  <c r="F662" i="10"/>
  <c r="F663" i="10" s="1"/>
  <c r="F1295" i="10"/>
  <c r="F1296" i="10" s="1"/>
  <c r="F1175" i="10" l="1"/>
  <c r="F1176" i="10" s="1"/>
  <c r="F1134" i="10"/>
  <c r="F1135" i="10" s="1"/>
  <c r="F1093" i="10"/>
  <c r="F1094" i="10" s="1"/>
  <c r="E17" i="4"/>
  <c r="G16" i="3" l="1"/>
  <c r="G18" i="3"/>
  <c r="G13" i="3" l="1"/>
  <c r="G14" i="3"/>
  <c r="G10" i="2" l="1"/>
  <c r="G16" i="6"/>
  <c r="G15" i="6"/>
  <c r="G14" i="6"/>
  <c r="G13" i="6"/>
  <c r="G12" i="6"/>
  <c r="G11" i="6"/>
  <c r="G10" i="6"/>
  <c r="G17" i="4"/>
  <c r="G12" i="4"/>
  <c r="G17" i="6" l="1"/>
  <c r="G18" i="6" s="1"/>
  <c r="G19" i="6" s="1"/>
  <c r="G11" i="2"/>
  <c r="G12" i="2" s="1"/>
  <c r="E82" i="12" l="1"/>
  <c r="G82" i="12" s="1"/>
  <c r="E9" i="12"/>
  <c r="G9" i="12" s="1"/>
  <c r="G13" i="13" l="1"/>
  <c r="E86" i="12"/>
  <c r="G86" i="12" s="1"/>
  <c r="E85" i="12"/>
  <c r="G85" i="12" s="1"/>
  <c r="E27" i="3" l="1"/>
  <c r="G27" i="3" s="1"/>
  <c r="G30" i="3" l="1"/>
  <c r="G32" i="3" s="1"/>
  <c r="H40" i="6"/>
  <c r="G31" i="3" l="1"/>
  <c r="G33" i="3" s="1"/>
  <c r="G73" i="6"/>
  <c r="H73" i="6" s="1"/>
  <c r="I73" i="6" s="1"/>
  <c r="H42" i="6" l="1"/>
  <c r="I38" i="6" s="1"/>
  <c r="F51" i="6" s="1"/>
  <c r="F52" i="6" s="1"/>
  <c r="H43" i="6" l="1"/>
  <c r="G74" i="6"/>
  <c r="H74" i="6" s="1"/>
  <c r="I74" i="6" s="1"/>
  <c r="G36" i="4" l="1"/>
  <c r="F41" i="4" s="1"/>
  <c r="E20" i="4" s="1"/>
  <c r="G20" i="4" s="1"/>
  <c r="G31" i="4"/>
  <c r="G34" i="4"/>
  <c r="G32" i="4"/>
  <c r="G35" i="4"/>
  <c r="F42" i="4" s="1"/>
  <c r="E21" i="4" s="1"/>
  <c r="G21" i="4" s="1"/>
  <c r="G33" i="4"/>
  <c r="F44" i="4" s="1"/>
  <c r="F40" i="4" l="1"/>
  <c r="G19" i="4"/>
  <c r="E23" i="4"/>
  <c r="G23" i="4" s="1"/>
  <c r="F43" i="4"/>
  <c r="H36" i="4"/>
  <c r="E13" i="12" l="1"/>
  <c r="G13" i="12" s="1"/>
  <c r="E22" i="4"/>
  <c r="G22" i="4" s="1"/>
  <c r="G24" i="4" s="1"/>
  <c r="G20" i="13" l="1"/>
  <c r="G16" i="13"/>
  <c r="G26" i="4"/>
  <c r="G25" i="4"/>
  <c r="E12" i="12" l="1"/>
  <c r="G27" i="4"/>
  <c r="G19" i="13" l="1"/>
  <c r="G18" i="13" s="1"/>
  <c r="E11" i="12"/>
  <c r="G12" i="12"/>
  <c r="E83" i="12"/>
  <c r="G83" i="12" s="1"/>
  <c r="G15" i="13"/>
  <c r="G11" i="12" l="1"/>
  <c r="E87" i="12"/>
  <c r="G14" i="13"/>
  <c r="G80" i="12"/>
  <c r="G12" i="13" l="1"/>
  <c r="G74" i="13" s="1"/>
  <c r="G87" i="12"/>
  <c r="E88" i="12"/>
  <c r="G88" i="12" s="1"/>
  <c r="G8" i="12"/>
  <c r="G76" i="13" l="1"/>
  <c r="G78" i="13" s="1"/>
  <c r="G75" i="13"/>
  <c r="G77" i="13"/>
  <c r="P93" i="12"/>
  <c r="G91" i="12"/>
  <c r="I8" i="12" s="1"/>
  <c r="G79" i="13" l="1"/>
  <c r="D15" i="1" s="1"/>
  <c r="D20" i="1" s="1"/>
  <c r="I73" i="12"/>
  <c r="I66" i="12"/>
  <c r="I70" i="12"/>
  <c r="I62" i="12"/>
  <c r="I60" i="12"/>
  <c r="G92" i="12"/>
  <c r="P99" i="12" s="1"/>
  <c r="I35" i="12"/>
  <c r="I57" i="12"/>
  <c r="I33" i="12"/>
  <c r="I25" i="12"/>
  <c r="I29" i="12"/>
  <c r="I55" i="12"/>
  <c r="I30" i="12"/>
  <c r="I34" i="12"/>
  <c r="I27" i="12"/>
  <c r="I50" i="12"/>
  <c r="I74" i="12"/>
  <c r="I67" i="12"/>
  <c r="I64" i="12"/>
  <c r="I61" i="12"/>
  <c r="I58" i="12"/>
  <c r="I47" i="12"/>
  <c r="I21" i="12"/>
  <c r="I16" i="12"/>
  <c r="I17" i="12"/>
  <c r="I44" i="12"/>
  <c r="I22" i="12"/>
  <c r="I23" i="12"/>
  <c r="I31" i="12"/>
  <c r="I46" i="12"/>
  <c r="I76" i="12"/>
  <c r="I71" i="12"/>
  <c r="I69" i="12"/>
  <c r="I65" i="12"/>
  <c r="I15" i="12"/>
  <c r="I37" i="12"/>
  <c r="I18" i="12"/>
  <c r="I52" i="12"/>
  <c r="I54" i="12"/>
  <c r="I49" i="12"/>
  <c r="I26" i="12"/>
  <c r="I19" i="12"/>
  <c r="I51" i="12"/>
  <c r="I45" i="12"/>
  <c r="I20" i="12"/>
  <c r="I56" i="12"/>
  <c r="I77" i="12"/>
  <c r="I72" i="12"/>
  <c r="I68" i="12"/>
  <c r="I63" i="12"/>
  <c r="I59" i="12"/>
  <c r="I24" i="12"/>
  <c r="I41" i="12"/>
  <c r="I48" i="12"/>
  <c r="I10" i="12"/>
  <c r="I28" i="12"/>
  <c r="I40" i="12"/>
  <c r="I38" i="12"/>
  <c r="I43" i="12"/>
  <c r="I53" i="12"/>
  <c r="I39" i="12"/>
  <c r="I42" i="12"/>
  <c r="I32" i="12"/>
  <c r="I81" i="12"/>
  <c r="I9" i="12"/>
  <c r="I13" i="12"/>
  <c r="I83" i="12"/>
  <c r="I12" i="12"/>
  <c r="I11" i="12"/>
  <c r="I80" i="12"/>
  <c r="P97" i="12"/>
  <c r="Q97" i="12" s="1"/>
  <c r="Q93" i="12"/>
  <c r="G93" i="12" l="1"/>
  <c r="G103" i="12" s="1"/>
  <c r="G81" i="13" l="1"/>
  <c r="F110" i="12"/>
  <c r="F116" i="12" s="1"/>
  <c r="I116" i="12" s="1"/>
  <c r="G95" i="12"/>
  <c r="P103" i="12" s="1"/>
  <c r="P105" i="12" s="1"/>
  <c r="Q105" i="12" s="1"/>
  <c r="G83" i="13" l="1"/>
  <c r="G97" i="12"/>
  <c r="O107" i="12" s="1"/>
  <c r="O108" i="12" s="1"/>
  <c r="I110" i="12"/>
</calcChain>
</file>

<file path=xl/sharedStrings.xml><?xml version="1.0" encoding="utf-8"?>
<sst xmlns="http://schemas.openxmlformats.org/spreadsheetml/2006/main" count="3325" uniqueCount="646">
  <si>
    <t>FORMULARIO 1.</t>
  </si>
  <si>
    <t>FORMULARIO 2.</t>
  </si>
  <si>
    <t>FORMULARIO 3.</t>
  </si>
  <si>
    <t>FORMULARIO 4.</t>
  </si>
  <si>
    <t>TOTAL</t>
  </si>
  <si>
    <t xml:space="preserve">DESCRIPCIÓN </t>
  </si>
  <si>
    <t xml:space="preserve">UNIDAD </t>
  </si>
  <si>
    <t>CANTIDAD</t>
  </si>
  <si>
    <t>3.7.7</t>
  </si>
  <si>
    <t>REGISTRO DE CONEXIÓN DOMICILIARIO PARA ALCANTARILLADO</t>
  </si>
  <si>
    <t>ITEM</t>
  </si>
  <si>
    <t>3.7.7.1</t>
  </si>
  <si>
    <t>Registro de conexión domiciliario sifónico</t>
  </si>
  <si>
    <t>3.4.1.1.2</t>
  </si>
  <si>
    <t>En zona verde de 0.6x0.6; 1.0m&lt; H &lt; 1.4m Bifamiliar</t>
  </si>
  <si>
    <t>und</t>
  </si>
  <si>
    <t>FORMULARIO 5. PRESUESTO OBRA CIVIL - ACOMETIDAS DE ALCANTARILLADO</t>
  </si>
  <si>
    <t>COSTO TOTAL DIRECTO</t>
  </si>
  <si>
    <t>AIU 30%</t>
  </si>
  <si>
    <t>COSTO TOTAL OBRA CIVIL</t>
  </si>
  <si>
    <t>CONDICIONES DE LAS UNIDADES DE OBRA</t>
  </si>
  <si>
    <t>3.20</t>
  </si>
  <si>
    <t>Suministro de tuberías y Elementos de Acueducto y Alcantarillado</t>
  </si>
  <si>
    <t>3.20.2</t>
  </si>
  <si>
    <t>Suministro de tuberías y Elementos de Alcantarillado</t>
  </si>
  <si>
    <t>3.20.2.1</t>
  </si>
  <si>
    <t>Suministro de tuberías Alcantarillado</t>
  </si>
  <si>
    <t>3.20.2.1.1</t>
  </si>
  <si>
    <t>Tubería de Alcantarillado de PVC de Superficie Interior Lisa y Exterior perfilada</t>
  </si>
  <si>
    <t>3.20.2.1.1.1</t>
  </si>
  <si>
    <t>Tubería PVC de 160mm (6")</t>
  </si>
  <si>
    <t>Tubería PVC de 200mm (8")</t>
  </si>
  <si>
    <t>Tubería PVC de 315mm (12")</t>
  </si>
  <si>
    <t>m</t>
  </si>
  <si>
    <t>3.20.2.1.1.2</t>
  </si>
  <si>
    <t>3.20.2.1.1.4</t>
  </si>
  <si>
    <t>3.20.2.2.6</t>
  </si>
  <si>
    <t>Suministro de pozos de inspección por profunidad</t>
  </si>
  <si>
    <t>ADMON 18%</t>
  </si>
  <si>
    <t>IVA 16%</t>
  </si>
  <si>
    <t>FORMULARIO 3. PRESUPUESTO SUMINISTRO - DERIVACIONES ALCANTARILLADO</t>
  </si>
  <si>
    <t>3.20.2.2</t>
  </si>
  <si>
    <t>Suministro de Accesorios de Alcantarillado</t>
  </si>
  <si>
    <t>3.20.2.2.7</t>
  </si>
  <si>
    <t>Suministro de accesorios para tubería de alcantarillado de PVC de Superficie lisa y exterior perfilada</t>
  </si>
  <si>
    <t>3.20.2.2.7.2</t>
  </si>
  <si>
    <t>Suministro de codos</t>
  </si>
  <si>
    <t>3.20.2.2.7.2.4</t>
  </si>
  <si>
    <t>Codo 45° Campana x Campana Diametro nominal 160 mm</t>
  </si>
  <si>
    <t>3.20.2.2.7.4</t>
  </si>
  <si>
    <t>Suministro de Yees</t>
  </si>
  <si>
    <t>3.20.2.2.7.4.2</t>
  </si>
  <si>
    <t>3.20.2.2.7.4.3</t>
  </si>
  <si>
    <t>Yee Campana x Campana x Campana Diametro nominal 200 x 200 x 160</t>
  </si>
  <si>
    <t>Yee Campana x Campana x Campana Diametro nominal 250 x 250 x 160</t>
  </si>
  <si>
    <t>FORMULARIO 4. PRESUESTO OBRA CIVIL - DERIVACIONES DE ALCANTARILLADO</t>
  </si>
  <si>
    <t xml:space="preserve">INSTALACIÓN Y CIMENTACIÓN DE TUBERÍAS </t>
  </si>
  <si>
    <t>Instalaciones de tubería para domiciliarias de Alcantarillado</t>
  </si>
  <si>
    <t>3.4</t>
  </si>
  <si>
    <t>3.4.1</t>
  </si>
  <si>
    <t>3.4.1.1</t>
  </si>
  <si>
    <t>Instalación de domiciliarias de alcantarillado con tubería PVC y/o PEAD 160mm (6"). Incluye Tee o Yee, Codo o Accesorio de Derivación</t>
  </si>
  <si>
    <t>3.4.1.1.1</t>
  </si>
  <si>
    <t>3.4.1.1.3</t>
  </si>
  <si>
    <t>3.4.1.1.4</t>
  </si>
  <si>
    <t>3.4.1.1.5</t>
  </si>
  <si>
    <t>3.4.1.1.6</t>
  </si>
  <si>
    <t>3.4.1.1.7</t>
  </si>
  <si>
    <t>Tipo 1, 0 &lt; L &lt; 1.0m</t>
  </si>
  <si>
    <t>Tipo 2, 1 &lt; L &lt; 3.0m</t>
  </si>
  <si>
    <t>Tipo 3, 3 &lt; L &lt; 5.0m</t>
  </si>
  <si>
    <t>Tipo 4, 5 &lt; L &lt; 6.0m</t>
  </si>
  <si>
    <t>Tipo 5, 6 &lt; L &lt; 7.0m</t>
  </si>
  <si>
    <t>Tipo 6, 7 &lt; L &lt; 9.0m</t>
  </si>
  <si>
    <t>Tipo 7, 9 &lt; L &lt; 12.0m</t>
  </si>
  <si>
    <t>3.1.1.1</t>
  </si>
  <si>
    <t>Soporte para cinta demarcadora (Esquema No. 1)</t>
  </si>
  <si>
    <t>3.1.1.4.1</t>
  </si>
  <si>
    <t>Valla Movil Tipo 1. Valla Plegable (Esquema No. 4)</t>
  </si>
  <si>
    <t>Cinta demarcadora, sin soporte (Esquema No. 3)</t>
  </si>
  <si>
    <t>Avisos preventivos fijos (Esquemas No. 8,  No. 9, No. 10, No. 11, No. 12, No. 13, No. 14, No. 15, No. 16, y No. 17</t>
  </si>
  <si>
    <t>Canecas reflectivas</t>
  </si>
  <si>
    <t>3.2.4.1</t>
  </si>
  <si>
    <t xml:space="preserve">Demolición de obras civiles en mamposteria con refuerzo o sin el </t>
  </si>
  <si>
    <t>m2</t>
  </si>
  <si>
    <t>Excavaciones en zanja para redes de alcantarillado y acueducto</t>
  </si>
  <si>
    <t>3.3.2.1</t>
  </si>
  <si>
    <t>3.3.2.2</t>
  </si>
  <si>
    <t>m3</t>
  </si>
  <si>
    <t>Excavación a maquina en material común, roca descompuesta a cualquier profundidad y bajo cualquier condición de humedad (incluye retiro a lugar autorizado9</t>
  </si>
  <si>
    <t>3.3.7.3.1</t>
  </si>
  <si>
    <t>Entibado tipo 4, continuo de madera</t>
  </si>
  <si>
    <t>3.4.2.1.1</t>
  </si>
  <si>
    <t>3.4.2.1.2</t>
  </si>
  <si>
    <t>3.4.2.1.4</t>
  </si>
  <si>
    <t>3.4.6.1</t>
  </si>
  <si>
    <t>Empalme de tubería s desde 160 mm (6") hasta 315 mm (12") a pozo existente en mamposteria</t>
  </si>
  <si>
    <t>3.4.6.2</t>
  </si>
  <si>
    <t>Empalme de tubería s desde 350 mm (14") hasta 500 mm (20") a pozo existente en mamposteria</t>
  </si>
  <si>
    <t>3.4.7.1</t>
  </si>
  <si>
    <t>Limpieza de pozos de inspección existente h &gt; 1,5 m</t>
  </si>
  <si>
    <t>3.4.7.2</t>
  </si>
  <si>
    <t>Limpieza de pozos de inspección existente h &lt; 1,5 m</t>
  </si>
  <si>
    <t>3.4.8.1</t>
  </si>
  <si>
    <t>3.4.8.2</t>
  </si>
  <si>
    <t>Cimentación de tubería en material granular (agragado grueso)</t>
  </si>
  <si>
    <t>Cimentación de tubería con arena compacta al 70% de la densidad relativa máxima</t>
  </si>
  <si>
    <t>3.4.9.1</t>
  </si>
  <si>
    <t>Limpieza de tubería de alcantarillado 6" &lt; D &lt; 18"</t>
  </si>
  <si>
    <t>3.5.1.1</t>
  </si>
  <si>
    <t>3.5.1.2</t>
  </si>
  <si>
    <t>Relleno de zanjas y obras de mamposteria con material seleccionado de sitio, compactado al 90% del proctor modificado</t>
  </si>
  <si>
    <t>Relleno de zanjas y obras de mamposteria con material seleccionado de cantera, compactado al 95% del proctor modificado</t>
  </si>
  <si>
    <t>3.7.11.1</t>
  </si>
  <si>
    <t>Instalación de tapa y aro de 600mm (24") en losa existente</t>
  </si>
  <si>
    <t>No</t>
  </si>
  <si>
    <t>TRAMO</t>
  </si>
  <si>
    <t>Nodo</t>
  </si>
  <si>
    <t>Diametro</t>
  </si>
  <si>
    <t>Diametro
Interior</t>
  </si>
  <si>
    <t>Longitud</t>
  </si>
  <si>
    <t>S</t>
  </si>
  <si>
    <t>Caida</t>
  </si>
  <si>
    <t>Recubrimiento a Clave</t>
  </si>
  <si>
    <t>Tipo</t>
  </si>
  <si>
    <t>Cota Excavación</t>
  </si>
  <si>
    <t>Profundidad
Excavación</t>
  </si>
  <si>
    <t>Sobre Ancho</t>
  </si>
  <si>
    <t>b</t>
  </si>
  <si>
    <t>Area</t>
  </si>
  <si>
    <t>Esp.
Sol.</t>
  </si>
  <si>
    <t xml:space="preserve">Volumen
Excavación
</t>
  </si>
  <si>
    <t>Area
Trit.</t>
  </si>
  <si>
    <t>Volumen
Triturado</t>
  </si>
  <si>
    <t>Vol.
Tubo</t>
  </si>
  <si>
    <t>Area
Relleno
Recebo</t>
  </si>
  <si>
    <t>Corte Pavimento</t>
  </si>
  <si>
    <t>Retiro Escombros</t>
  </si>
  <si>
    <t>Necesidad de entibado</t>
  </si>
  <si>
    <t>Area para entibado</t>
  </si>
  <si>
    <t>Inicial</t>
  </si>
  <si>
    <t>Final</t>
  </si>
  <si>
    <t>Pulg</t>
  </si>
  <si>
    <t>mm</t>
  </si>
  <si>
    <t>%</t>
  </si>
  <si>
    <t>(m)</t>
  </si>
  <si>
    <t>Volumen
Relleno
MEX</t>
  </si>
  <si>
    <t>12"</t>
  </si>
  <si>
    <t>8"</t>
  </si>
  <si>
    <t>3.4.2.1.3</t>
  </si>
  <si>
    <t>Tubería PVC de 200mm (10")</t>
  </si>
  <si>
    <t>3.20.2.1.1.3</t>
  </si>
  <si>
    <t xml:space="preserve">CALCULO DE CANTIDADES </t>
  </si>
  <si>
    <t xml:space="preserve">No. De Ítem : </t>
  </si>
  <si>
    <t>Descripción del item :</t>
  </si>
  <si>
    <t>Suministro Tubería PVC de 250mm (10")</t>
  </si>
  <si>
    <t xml:space="preserve">Unidad : </t>
  </si>
  <si>
    <t>1 . EQUIPOS Y/O HERRAMIENTA</t>
  </si>
  <si>
    <t>DESCRIPCION</t>
  </si>
  <si>
    <t>UNIDAD</t>
  </si>
  <si>
    <t>TARIFA/HORA</t>
  </si>
  <si>
    <t>RENDIMIENTO</t>
  </si>
  <si>
    <t>VR PARCIAL</t>
  </si>
  <si>
    <t>SUBTOTAL EQUIPOS</t>
  </si>
  <si>
    <t xml:space="preserve">2 . M A T E R I A L E S    E N     O B R A   </t>
  </si>
  <si>
    <t>PRECIO UNIT</t>
  </si>
  <si>
    <t>Tubería PVC de 250mm (10")</t>
  </si>
  <si>
    <t>SUBTOTAL MATERIALES</t>
  </si>
  <si>
    <t>3 . MA N O D E O B R A</t>
  </si>
  <si>
    <t>% FP</t>
  </si>
  <si>
    <t>JORNAL TOTAL</t>
  </si>
  <si>
    <t>VLR PARCIAL</t>
  </si>
  <si>
    <t>SUBTOTAL MANO DE OBRA</t>
  </si>
  <si>
    <t>4 . TR A N S PO R TE</t>
  </si>
  <si>
    <t>DISTANCIA</t>
  </si>
  <si>
    <t>M3 ó TON/M3</t>
  </si>
  <si>
    <t>SUBTOTAL TRANSPORTE</t>
  </si>
  <si>
    <t xml:space="preserve">TOTAL COSTOS DIRECTOS  </t>
  </si>
  <si>
    <t>5 . COSTOS INDIRECTOS</t>
  </si>
  <si>
    <t>VLR. PARC</t>
  </si>
  <si>
    <t>ADMINISTRACION</t>
  </si>
  <si>
    <t>IMPREVISTOS</t>
  </si>
  <si>
    <t>UTILIDAD</t>
  </si>
  <si>
    <t>IVA SOBRE UTILIDAD</t>
  </si>
  <si>
    <t>TOTAL COSTOS INDIRECTOS</t>
  </si>
  <si>
    <t>PRECIO UNITARIO TOTAL (APROXIMADO AL PESO)</t>
  </si>
  <si>
    <t>Tubería PVC de 400mm (16")</t>
  </si>
  <si>
    <t>Instalación de tubería de Alcantarillado PVC de 250mm (10")</t>
  </si>
  <si>
    <t>EQUIPO Y HERRAMIENTO MENOR</t>
  </si>
  <si>
    <t>HORA</t>
  </si>
  <si>
    <t>CUADRILLA TIPO A - 1 OFICIAL + A YUDANTE</t>
  </si>
  <si>
    <t>JORNAL</t>
  </si>
  <si>
    <t>Pozo de inspección en mamposteria 1,00m &lt; H &lt; 1.45 m</t>
  </si>
  <si>
    <t xml:space="preserve"> HERRAMIENTA  MENOR</t>
  </si>
  <si>
    <t>TROMPO</t>
  </si>
  <si>
    <t>CONCRETO 2500 PSI</t>
  </si>
  <si>
    <t>M3</t>
  </si>
  <si>
    <t>CONCRETO DE 3000 PSI</t>
  </si>
  <si>
    <t>MORTERO 1:4 IMPERMEABILIZADO</t>
  </si>
  <si>
    <t>LADRILLO TOLETE MACIZO</t>
  </si>
  <si>
    <t>ACERO DE REFUERZO</t>
  </si>
  <si>
    <t>KG</t>
  </si>
  <si>
    <t>RECUBRIMIENTO EPOXICO A BASE DE ALQUITRAN</t>
  </si>
  <si>
    <t>AEROTAPA DE FERROCONCRETO</t>
  </si>
  <si>
    <t>Pozo de inspección en mamposteria 1,45m &lt; H &lt; 1.80 m</t>
  </si>
  <si>
    <t>Pozo de inspección en mamposteria 1,80m &lt; H &lt; 3,00 m</t>
  </si>
  <si>
    <t>Construcción de cañuel para pozo de inspección</t>
  </si>
  <si>
    <t>Inspección de redes con camara robotica</t>
  </si>
  <si>
    <t>ALQUILER DE EQUIPO DE INSPECCIÓN</t>
  </si>
  <si>
    <t>SUMINISTRO E INSTALACIÓN DE PELDAÑOS PARA POZOS DE INSPECCIÓN</t>
  </si>
  <si>
    <t>Herramienta menor, taladro de perforación</t>
  </si>
  <si>
    <t>dia</t>
  </si>
  <si>
    <t xml:space="preserve">Peldaño en acero </t>
  </si>
  <si>
    <t>Epóxico para anclajes</t>
  </si>
  <si>
    <t>kg</t>
  </si>
  <si>
    <t>Suministro Tubería PVC de 200mm (8")</t>
  </si>
  <si>
    <t>Suministro Tubería PVC de 350mm (12")</t>
  </si>
  <si>
    <t>3.1.1.2</t>
  </si>
  <si>
    <t>3.1.1.4.2</t>
  </si>
  <si>
    <t>3.1.1.4.3</t>
  </si>
  <si>
    <t>Excavación a mano en material común, roca descompuesta a cualquier profundidad y bajo cualquier condición de humedad (incluye retiro a lugar autorizado)</t>
  </si>
  <si>
    <t>3.7.4.1.1</t>
  </si>
  <si>
    <t>3.7.4.1.2</t>
  </si>
  <si>
    <t>3.7.4.1.3</t>
  </si>
  <si>
    <t>3.7.4.1.4</t>
  </si>
  <si>
    <t>Soprte para cinta demarcadora</t>
  </si>
  <si>
    <t>VOLQUETA INC VOTADERO</t>
  </si>
  <si>
    <t>RETROEXCAVADORA</t>
  </si>
  <si>
    <t xml:space="preserve">MADERA </t>
  </si>
  <si>
    <t>M2</t>
  </si>
  <si>
    <t>Instalación de tubería de Alcantarillado PVC de 200mm (8")</t>
  </si>
  <si>
    <t>ACCESORIOS MENORES HIDRAULICOS</t>
  </si>
  <si>
    <t>GL</t>
  </si>
  <si>
    <t>EQUIPO Y HERRAMIENTA MENOR</t>
  </si>
  <si>
    <t>MATERIAL GRANULAR (AGREGADO GRUESO)</t>
  </si>
  <si>
    <t>ALQUILER DE EQUIPO VACATOR</t>
  </si>
  <si>
    <t>Material seleccionado de cantera</t>
  </si>
  <si>
    <t>Aero tapa de ferro concreto</t>
  </si>
  <si>
    <t>Suministro Tubería PVC de 150mm (6")</t>
  </si>
  <si>
    <t>Tubería PVC de 150mm (6")</t>
  </si>
  <si>
    <t>Concreto de 2500psi</t>
  </si>
  <si>
    <t>Concreto de 3000psi</t>
  </si>
  <si>
    <t>Morte 1:4 imp</t>
  </si>
  <si>
    <t>Ladrillo tolete macizo</t>
  </si>
  <si>
    <t>Acero de refuerzo</t>
  </si>
  <si>
    <t>COLECTOR No. 01</t>
  </si>
  <si>
    <r>
      <t>(m</t>
    </r>
    <r>
      <rPr>
        <b/>
        <vertAlign val="superscript"/>
        <sz val="9"/>
        <rFont val="Tahoma"/>
        <family val="2"/>
      </rPr>
      <t>2</t>
    </r>
    <r>
      <rPr>
        <b/>
        <sz val="9"/>
        <rFont val="Tahoma"/>
        <family val="2"/>
      </rPr>
      <t>)</t>
    </r>
  </si>
  <si>
    <r>
      <t>(m</t>
    </r>
    <r>
      <rPr>
        <b/>
        <vertAlign val="superscript"/>
        <sz val="9"/>
        <rFont val="Tahoma"/>
        <family val="2"/>
      </rPr>
      <t>3</t>
    </r>
    <r>
      <rPr>
        <b/>
        <sz val="9"/>
        <rFont val="Tahoma"/>
        <family val="2"/>
      </rPr>
      <t>)</t>
    </r>
  </si>
  <si>
    <t>Suministro Tubería PVC de 400mm (16")</t>
  </si>
  <si>
    <t>Tubería de</t>
  </si>
  <si>
    <t>DESCRIPCIÓN</t>
  </si>
  <si>
    <t>Long (m)</t>
  </si>
  <si>
    <t>VLR UNIT</t>
  </si>
  <si>
    <t>Tubería PVC de 350mm (16")</t>
  </si>
  <si>
    <t>jornal</t>
  </si>
  <si>
    <t>Cinta demarcadora</t>
  </si>
  <si>
    <t>Valla movil Tipo 1</t>
  </si>
  <si>
    <t>Aviso preventivo fijo</t>
  </si>
  <si>
    <t>Caneca reflectiva</t>
  </si>
  <si>
    <t>hora</t>
  </si>
  <si>
    <t>glb</t>
  </si>
  <si>
    <t>ARENA LAVADA</t>
  </si>
  <si>
    <t>Alquiler de TROMPO</t>
  </si>
  <si>
    <t>Instalación de tubería de Alcantarillado PVC de 315mm (12")</t>
  </si>
  <si>
    <t>Instalación de tubería de Alcantarillado PVC de 400mm (16")</t>
  </si>
  <si>
    <t>Cinta demarcadora, sin soporte</t>
  </si>
  <si>
    <t>Valla Movil Tipo 1. Valla Plegable</t>
  </si>
  <si>
    <t>Avisos preventivos fijos</t>
  </si>
  <si>
    <t>MATERIALES</t>
  </si>
  <si>
    <t>ALQUILER DE EQUIPO VACTOR</t>
  </si>
  <si>
    <t>ALQUILER DE EQUIPOS</t>
  </si>
  <si>
    <t xml:space="preserve">PERSONAL </t>
  </si>
  <si>
    <t>CUADRILLA DE TOPOGRAFÍA</t>
  </si>
  <si>
    <t>mes</t>
  </si>
  <si>
    <t>DIRECTOR DE OBRA - 50%</t>
  </si>
  <si>
    <t>RESIDENTE DE OBRA - 100%</t>
  </si>
  <si>
    <t>Soporte para cinta demarcadora</t>
  </si>
  <si>
    <t>DERECHA</t>
  </si>
  <si>
    <t>IZQUIERDA</t>
  </si>
  <si>
    <t>VALOR UNITARIO</t>
  </si>
  <si>
    <t>VALOR PARCIAL</t>
  </si>
  <si>
    <t>Yee Campana x Campana x Campana Diametro nominal 315 x 315 x 160</t>
  </si>
  <si>
    <t>Yee Campana x Campana x Campana Diametro nominal 355 x 355 x 160</t>
  </si>
  <si>
    <t>3.20.2.1.1.5</t>
  </si>
  <si>
    <t>Yee Campana x Campana x Campana Diametro nominal 400 x 400 x 160</t>
  </si>
  <si>
    <t>3.20.2.1.1.6</t>
  </si>
  <si>
    <t>PIONEROS</t>
  </si>
  <si>
    <t>BARLOVENTO</t>
  </si>
  <si>
    <t>10"</t>
  </si>
  <si>
    <t>ACOMETIDAS</t>
  </si>
  <si>
    <t>KM</t>
  </si>
  <si>
    <t>SATELITE</t>
  </si>
  <si>
    <t>ACO/KM</t>
  </si>
  <si>
    <t>PROMEDIO</t>
  </si>
  <si>
    <t>pozos</t>
  </si>
  <si>
    <t>1.00 m&lt; H&lt;= 1.45 m</t>
  </si>
  <si>
    <t>1.45 m&lt; H&lt;= 1.80 m</t>
  </si>
  <si>
    <t>1.80 m&lt; H&lt;= 3.00 m</t>
  </si>
  <si>
    <t>H&gt; 3.00 m</t>
  </si>
  <si>
    <t>total</t>
  </si>
  <si>
    <t>3.20.2.1.1.7</t>
  </si>
  <si>
    <t>18"</t>
  </si>
  <si>
    <t>Tuberia de 30"</t>
  </si>
  <si>
    <t>SALVADOR</t>
  </si>
  <si>
    <t>LA VEGA</t>
  </si>
  <si>
    <t>ACUMULADO</t>
  </si>
  <si>
    <t>Tubería PVC de 200mm (8") - incluye tubería secundaria para acometidas con diámetros de 18", 27" y 30"</t>
  </si>
  <si>
    <t>AREA</t>
  </si>
  <si>
    <t>VIVIENDAS</t>
  </si>
  <si>
    <t>HAB/HA</t>
  </si>
  <si>
    <t>HAB</t>
  </si>
  <si>
    <t>ANCHO</t>
  </si>
  <si>
    <t>POT</t>
  </si>
  <si>
    <t xml:space="preserve">ADURE </t>
  </si>
  <si>
    <t>PROPUESTA</t>
  </si>
  <si>
    <t>MAXIMA</t>
  </si>
  <si>
    <t>DENSIDAD (lotes/Hectáreas)</t>
  </si>
  <si>
    <t>hab/lote o vivienda</t>
  </si>
  <si>
    <t>Hab/Ha</t>
  </si>
  <si>
    <t>Comuna</t>
  </si>
  <si>
    <t>area</t>
  </si>
  <si>
    <t>BOGOTA 2</t>
  </si>
  <si>
    <t>16"</t>
  </si>
  <si>
    <t>20"</t>
  </si>
  <si>
    <t>Tuberia de 24"</t>
  </si>
  <si>
    <t>Longitud pozo &gt;1.65 m</t>
  </si>
  <si>
    <t>NOVAFORT</t>
  </si>
  <si>
    <t>6"</t>
  </si>
  <si>
    <t>14"</t>
  </si>
  <si>
    <t>24"</t>
  </si>
  <si>
    <t>27"</t>
  </si>
  <si>
    <t>30"</t>
  </si>
  <si>
    <t>33"</t>
  </si>
  <si>
    <t>36"</t>
  </si>
  <si>
    <t>UND</t>
  </si>
  <si>
    <t>TUBO</t>
  </si>
  <si>
    <t>VALOR</t>
  </si>
  <si>
    <t>BOGOTA 3</t>
  </si>
  <si>
    <t>CENTRO</t>
  </si>
  <si>
    <t>ARGELIA</t>
  </si>
  <si>
    <t>ARGELIA 2</t>
  </si>
  <si>
    <t>POLLITAS</t>
  </si>
  <si>
    <t>VILLA KATHY</t>
  </si>
  <si>
    <t>POZOS</t>
  </si>
  <si>
    <t>EJE 1</t>
  </si>
  <si>
    <t>SUR - NORTE</t>
  </si>
  <si>
    <t>CONTADAS</t>
  </si>
  <si>
    <t>ESTIMADAS</t>
  </si>
  <si>
    <t>&lt; 1</t>
  </si>
  <si>
    <t>1 &lt; l &lt; 3</t>
  </si>
  <si>
    <t>3 &lt; l &lt; 5</t>
  </si>
  <si>
    <t>5 &lt; l &lt; 6</t>
  </si>
  <si>
    <t>6 &lt; l &lt; 7</t>
  </si>
  <si>
    <t>7 &lt; l &lt; 9</t>
  </si>
  <si>
    <t>9 &lt; l &lt; 12</t>
  </si>
  <si>
    <t>PAVCO</t>
  </si>
  <si>
    <t>LISTA DE PRECIOS 2015</t>
  </si>
  <si>
    <t>COSTO TOTAL SUMINISTRO</t>
  </si>
  <si>
    <t>ARENA</t>
  </si>
  <si>
    <t>RECEBO</t>
  </si>
  <si>
    <t>SITIO</t>
  </si>
  <si>
    <t>MATERIAL</t>
  </si>
  <si>
    <t>Tapa pozo alcantarillado</t>
  </si>
  <si>
    <t>3.20.2.2.1</t>
  </si>
  <si>
    <t>3.20.2.2.1.1</t>
  </si>
  <si>
    <t>Tapa de 600mm (24") sin sistema de seguridad</t>
  </si>
  <si>
    <t xml:space="preserve">EXCAVACIONES  </t>
  </si>
  <si>
    <t>3.20.2.1.1.8</t>
  </si>
  <si>
    <t>3.20.2.1.1.9</t>
  </si>
  <si>
    <t>Estructura del pavimento</t>
  </si>
  <si>
    <t>MDC-19</t>
  </si>
  <si>
    <t>BASE</t>
  </si>
  <si>
    <t>SUBBASE</t>
  </si>
  <si>
    <t>Tuberia de 27"</t>
  </si>
  <si>
    <t>Tuberia de 33"</t>
  </si>
  <si>
    <t>SIN IVA</t>
  </si>
  <si>
    <t>FORMULARIO 1. PRESUESTO SUMINISTRO DE REDES ALCANTARILLADO PLUVIAL</t>
  </si>
  <si>
    <t>TUBERIA SUMIDERO - POZOS</t>
  </si>
  <si>
    <t>3.20.2.1.1.10</t>
  </si>
  <si>
    <t>3.20.2.1.1.11</t>
  </si>
  <si>
    <t>IVA 19%</t>
  </si>
  <si>
    <t>ICCU</t>
  </si>
  <si>
    <t>TUBERIA PVC U.M. EXT CORRUGADO/INT LISO U.M. NORMA NTC 3722-1 D=14" (Incluye Suministro e Instalación)</t>
  </si>
  <si>
    <t>KILOMETROS</t>
  </si>
  <si>
    <t>ACOMETIDAS DE ALCANTARILLADO</t>
  </si>
  <si>
    <t>VALOR POR M</t>
  </si>
  <si>
    <t>EXCAVACION</t>
  </si>
  <si>
    <t>ENTIBADO</t>
  </si>
  <si>
    <t>&lt; 3.5 m</t>
  </si>
  <si>
    <t>&gt; 3.5 m</t>
  </si>
  <si>
    <t>&lt; 4.5 m</t>
  </si>
  <si>
    <t>&gt; 4.5 m</t>
  </si>
  <si>
    <t>Etiquetas de fila</t>
  </si>
  <si>
    <t>Suma de Longitud</t>
  </si>
  <si>
    <t>Cuenta de Diametro</t>
  </si>
  <si>
    <t>Suma de Profundidad tubo No 1</t>
  </si>
  <si>
    <t>Total general</t>
  </si>
  <si>
    <t>CHIA</t>
  </si>
  <si>
    <t>TRAMO 1</t>
  </si>
  <si>
    <t>8" - 18"</t>
  </si>
  <si>
    <t>20" - 33"</t>
  </si>
  <si>
    <t>33" - 60"</t>
  </si>
  <si>
    <t>Cota Batea No 1</t>
  </si>
  <si>
    <t>Cota Batea No 2</t>
  </si>
  <si>
    <t>Cota Clave No 1</t>
  </si>
  <si>
    <t>Cota Clave No 2</t>
  </si>
  <si>
    <t>Cota Terreno No 1</t>
  </si>
  <si>
    <t>Cota Terreno No 2</t>
  </si>
  <si>
    <t>Profundidad tubo No 1</t>
  </si>
  <si>
    <t>Profundidad tubo No 2</t>
  </si>
  <si>
    <t>$/KM</t>
  </si>
  <si>
    <t>TRAMO 2</t>
  </si>
  <si>
    <t>TRAMO 3</t>
  </si>
  <si>
    <t>TRAMO 4</t>
  </si>
  <si>
    <t>TRAMO 5</t>
  </si>
  <si>
    <t>TRAMO 6</t>
  </si>
  <si>
    <t>TRAMO 7</t>
  </si>
  <si>
    <t>MUNICIPIO DE COTA</t>
  </si>
  <si>
    <t>zona verde</t>
  </si>
  <si>
    <t>ICCU 2019</t>
  </si>
  <si>
    <t>ACUEDUCTO TUBERIA</t>
  </si>
  <si>
    <t>RELLENOS</t>
  </si>
  <si>
    <t>REDES DE ACUEDUCTO URBANIZACIÓN PONTEVERDI - AMARILO</t>
  </si>
  <si>
    <t>FORMULARIO 2. PRESUPUESTO OBRA CIVIL - REDES ACUEDUCTO - TANQUE PARCELAS HASTA LA URBANIZACIÓN</t>
  </si>
  <si>
    <t>IDU II-2018</t>
  </si>
  <si>
    <t>Und</t>
  </si>
  <si>
    <t>INTERVENTORIA (7%)</t>
  </si>
  <si>
    <t>AMARILO</t>
  </si>
  <si>
    <t>PROPIO</t>
  </si>
  <si>
    <t>DIFERENCIA</t>
  </si>
  <si>
    <t>COSTO DIRECTO</t>
  </si>
  <si>
    <t>EMPRESA DE SERVICIOS PÚBLICOS DE COTA - EMSERCOTA SA ESP</t>
  </si>
  <si>
    <t>cimentacion</t>
  </si>
  <si>
    <t>arena</t>
  </si>
  <si>
    <t>tubo</t>
  </si>
  <si>
    <t>relleno</t>
  </si>
  <si>
    <t>sitio</t>
  </si>
  <si>
    <t>tramo 1</t>
  </si>
  <si>
    <t>tramo 2</t>
  </si>
  <si>
    <t>tramo 3</t>
  </si>
  <si>
    <t>tramo 4</t>
  </si>
  <si>
    <t>tramo 5</t>
  </si>
  <si>
    <t>SUBTOTAL</t>
  </si>
  <si>
    <t>ACOPLE</t>
  </si>
  <si>
    <t>CODO GRP DN600 PN6 SN5000 (0°-30°) (11,25°)</t>
  </si>
  <si>
    <t>CODO GRP DN600 PN6 SN5000 (0°-30°) (22,50°)</t>
  </si>
  <si>
    <t>CODO GRP DN600 PN6 SN5000 (31°-60°) (45°)</t>
  </si>
  <si>
    <t>CODO GRP DN600 PN6 SN5000 (61°-90°) (90°)</t>
  </si>
  <si>
    <t>TEE PARA VENTOSA DN600 X DN100 PN6 SN5000</t>
  </si>
  <si>
    <t>TEE PARA DRENAJE DN600 X DN200 PN6 SN5000</t>
  </si>
  <si>
    <t>VALOR TOTAL</t>
  </si>
  <si>
    <t>PAVIMENTOS</t>
  </si>
  <si>
    <t>ANCHO DE ZANJA</t>
  </si>
  <si>
    <t>MDC-25</t>
  </si>
  <si>
    <t>LONGITUD</t>
  </si>
  <si>
    <t>ESPESOR</t>
  </si>
  <si>
    <t>SISTEMA RAMMING 30"</t>
  </si>
  <si>
    <t>TUBERÍA PEAD 600 mm (INCLUYE TRANSPORTE). SUMINISTRO E INSTALACIÓN</t>
  </si>
  <si>
    <t>ADMINISTRACIÓN</t>
  </si>
  <si>
    <t xml:space="preserve">UTILIDAD </t>
  </si>
  <si>
    <t>PRESUPUESTO REDES DE ACUEDUCTO</t>
  </si>
  <si>
    <t>CAJA DE LANZAMIENTO RAMMING</t>
  </si>
  <si>
    <t>REPLANTEO GENERAL</t>
  </si>
  <si>
    <t>CONCRETO 14 MPA PARA SOLADOS (PREMEZCLADO. INCLUYE SUMINISTRO Y COLOCACIÓN)</t>
  </si>
  <si>
    <t>ACERO DE REFUERZO (INCLUYE SUMINISTRO, FIGURADO Y FIJACIÓN)</t>
  </si>
  <si>
    <t>CONCRETO 4000 PSI (28 MPA) PARA TANQUE DE BOMBEO - CUARTO BOMBAS, CÁMARAS Y/O POZOS E INSPECCIÓN (PREMEZCLADO. INCLUYE SUMINISTRO, FORMALETEO, COLOCACIÓN Y CURADO. NO INCLUYE REFUERZO)</t>
  </si>
  <si>
    <t>CAJA DE LLEGADA RAMMING</t>
  </si>
  <si>
    <t>PRESUPUESTO TANQUE DE ALMACENAMIENTO</t>
  </si>
  <si>
    <t>FORMULARIO 2. PRESUPUESTO TANQUE DE ALMACENAMIENTO</t>
  </si>
  <si>
    <t>PRESUPUESTO ESTACIÓN DE BOMBEO</t>
  </si>
  <si>
    <t>PRESUPUESTO LINEA DE IMPULSIÓN</t>
  </si>
  <si>
    <t>Estructuras de concreto</t>
  </si>
  <si>
    <t>Equipos de bombeo</t>
  </si>
  <si>
    <t>Motobombas manca PENTAIR-BERKELEY-USA referencia B6EXRBH, tipo centrifuga horizontal , construcción en hierro, succión 8", descarga 6", conexiones bridadas, impulsor en hierro, sello prensa estopas; acople REX OMEGA, accionadas con motor WEG, IEC IE3 Eficiencia Premium, de 125 HP, 1800 RPM, 220 V, 3 fases, 60 HZ (Incluye suministro de tablero y accesorios hidráulicos - ver especificaciones)</t>
  </si>
  <si>
    <t>TUBERIA GRP 450mm  (INCLUYE TRANSPORTE). SUMINISTRO E INSTALACION.</t>
  </si>
  <si>
    <t>ACOPLE GRP 450mm. SUMINISTRO E INSTALACION.</t>
  </si>
  <si>
    <t>CODO GRP DN450 PN6 SN5000 (0°-30°) (11,25°)</t>
  </si>
  <si>
    <t>CODO GRP DN450 PN6 SN5000 (31°-60°) (45°)</t>
  </si>
  <si>
    <t>BRIDA GRP DN450 PN6 SN5000</t>
  </si>
  <si>
    <t>ABRAZADERA TUBOS TIPO II (100X5) DN450 PN25</t>
  </si>
  <si>
    <t xml:space="preserve">ARANDELAS CÓNICAS TIPO II </t>
  </si>
  <si>
    <t>LINER ACOPLE DN450 (L=686 mm x A=270 mm x espesor=5mm) ALTA FRICCIÓN</t>
  </si>
  <si>
    <t>LINER ACOPLE DN450 (L=1010 mm x A=100 mm x espesor=5mm) ALTA FRICCIÓN</t>
  </si>
  <si>
    <t>LINER TUBERIA DN450 (L=676 mm x A=200 mm x espesor=5mm) ALTA FRICCIÓN</t>
  </si>
  <si>
    <t>LINER TUBERIA DN450 (L=876 mm x A=100 mm x espesor=5mm) ALTA FRICCIÓN</t>
  </si>
  <si>
    <t>SALIDA BLOQUE DE ANCLAJE (ZONA ABRAZADERA) DN450 PN25 (L=876mm x A=100mm x espesor=5mm) ALTA FRICCION</t>
  </si>
  <si>
    <t>SALIDA BLOQUE DE ANCLAJE (ZONA SILLETA) DN450 PN25 (L=876mm x A=100mm x espesor=5mm) ALTA FRICCION</t>
  </si>
  <si>
    <t>FORMULARIO 4. PRESUPUESTO LINEA DE IMPULSION</t>
  </si>
  <si>
    <t>RAMMING EN CAMISA DE DIÁMETRO 30" PARA INSTALACIÓN TUBERÍA DE 24" GRP PARA CRUCE VÍA SIBERIA - COTA FRENTE A SUMMERHILL SCHOOL</t>
  </si>
  <si>
    <t xml:space="preserve">Und </t>
  </si>
  <si>
    <t>Suministro e instalación de un tablero para tres bombas de 125HP con variador de velocidad. Incluye mano de obra en la instalación. Incluye una celda de potencia y control para estación de bombeo de tres bombas operadas por variador de velocidad - certificado RETIE. Potencia: 3 x 125 HP - 220 Vac - Alternan 3 - Adicionan 2. Cofre certificdo fabricado en lámina Cold Rolled Calibre 16 dimensiones de 2100 x 2200 x 6000 mm (Alxanxpr) en elementos estructurales y calibre 16 en elementos de separación y compartimientos, puertas y tapas, grado de protección IP-54-NEMA12, acabado final en pintura electrostática RAL 7032, con empaque tipo esponja en las puertas para mayor hermeticidad al cierre. Bisagra de cápsula externa, chapa con cierre de tres puntos y llave. Fabricación nacional certificado RETIE 10 &lt; KA. Sistema remoto de control, el PLC Unitronics Vision permite visualizar toda la operación en la pantalla del sistema. Por medio de la APP: remote control by unitronics, permite monitorer y controlar el sistema. Se puede hacer el tiempo real en el celular del operario (Se requiere que el sistema posea una SIM CARD con datos - no incluida). 3 Variador de velocidad totalmente electrónico marca Mitsubishi F800, 1 Breaker industrial totalizador de 400 - 1000 Amp, auxiliar de montaje e interconexión, barraje de potenci N + T, planos electricos e ingenierí de programación logo y protocolo de pruebas de funcionamiento.</t>
  </si>
  <si>
    <t>Codo en acero al carbón de 14"x 90° , bridado</t>
  </si>
  <si>
    <t xml:space="preserve">Válvula de mariposa de 14" autoportante, bridada </t>
  </si>
  <si>
    <t xml:space="preserve">Unión de desmontaje de 14"  </t>
  </si>
  <si>
    <t>Reducción concentrica en acero al carbón de 14"x8"  brida x brida</t>
  </si>
  <si>
    <t>Reducción excentrica en acero en carbón de 14"x6"  brida x brida</t>
  </si>
  <si>
    <t>Válvula cheque de compuerta de 14" bridada</t>
  </si>
  <si>
    <t>1.0</t>
  </si>
  <si>
    <t>2.0</t>
  </si>
  <si>
    <t>2.1</t>
  </si>
  <si>
    <t>2.2</t>
  </si>
  <si>
    <t>2.4</t>
  </si>
  <si>
    <t>2.5</t>
  </si>
  <si>
    <t>2.6</t>
  </si>
  <si>
    <t>2.7</t>
  </si>
  <si>
    <t>2.8</t>
  </si>
  <si>
    <t>2.9</t>
  </si>
  <si>
    <t>2.11</t>
  </si>
  <si>
    <t>2.12</t>
  </si>
  <si>
    <t>2.13</t>
  </si>
  <si>
    <t>2.14</t>
  </si>
  <si>
    <t>2.15</t>
  </si>
  <si>
    <t>2.16</t>
  </si>
  <si>
    <t>2.17</t>
  </si>
  <si>
    <t>2.18</t>
  </si>
  <si>
    <t>2.19</t>
  </si>
  <si>
    <t>2.20</t>
  </si>
  <si>
    <t>Codo en acero al carbón de 14" x 45° bridado</t>
  </si>
  <si>
    <t>Reducción concentrica en acero al carbón de 18" x 8"  brida x brida</t>
  </si>
  <si>
    <t>Codo en acero al carbón de 8" x 90° extremo liso</t>
  </si>
  <si>
    <t xml:space="preserve">Niple en acero al carbón de 8", L=3,90 m brida x extremo liso </t>
  </si>
  <si>
    <t>2.21</t>
  </si>
  <si>
    <t>2.22</t>
  </si>
  <si>
    <t>2.23</t>
  </si>
  <si>
    <t>2.24</t>
  </si>
  <si>
    <t>2.25</t>
  </si>
  <si>
    <t>2.26</t>
  </si>
  <si>
    <t>2.27</t>
  </si>
  <si>
    <t>2.28</t>
  </si>
  <si>
    <t>Codo en acero al carbón de 8"x90°  brida x brida</t>
  </si>
  <si>
    <t>Válvula de compuerta elastica de 8"  brida x brida</t>
  </si>
  <si>
    <t>Niple en acero al carbo de 8", L=2,80 m brida x brida</t>
  </si>
  <si>
    <t>Niple en acero al carbón de 8", L=0,28 m brida x extremo liso</t>
  </si>
  <si>
    <t>Niple en acero al carbón de 18", L=2,28 m brida x brida con salida lateral en yee de 14" bridada</t>
  </si>
  <si>
    <t>Niple en acero al carbón de 14", L=0,45 m brida x brida</t>
  </si>
  <si>
    <t>Niple en acero al carbón de 14", L=1,25 m brida x brida</t>
  </si>
  <si>
    <t>Niple acero al carbón de 14" L=1,48 m brida x brida</t>
  </si>
  <si>
    <t>Niple en acero al carbón de 8", L=0,80 m brida x extremo liso</t>
  </si>
  <si>
    <t>Niple en acero al carbón de 18", L=2,50m brida x extremo liso con salida lateral en yee de 14" bridada</t>
  </si>
  <si>
    <t>Reducción en acero al carbón de 18"x14"  extremo liso x brida</t>
  </si>
  <si>
    <t xml:space="preserve">Niple en acero al carbón de 14", L=0,60m brida x brida con salida lateral de 4" bridada, más (1) salida lateral de 4" (vertical) bridada </t>
  </si>
  <si>
    <t>Niple en acero al carbón de 14" , l=0,40m bxb. con salida lateral de 1/2" , roscada, para conexión manómetro</t>
  </si>
  <si>
    <t>Registro de corte de 1/2"  red white p/d</t>
  </si>
  <si>
    <t>2.29</t>
  </si>
  <si>
    <t>2.30</t>
  </si>
  <si>
    <t>2.31</t>
  </si>
  <si>
    <t>2.33</t>
  </si>
  <si>
    <t>2.34</t>
  </si>
  <si>
    <t>2.35</t>
  </si>
  <si>
    <t>2.36</t>
  </si>
  <si>
    <t>2.37</t>
  </si>
  <si>
    <t>2.38</t>
  </si>
  <si>
    <t>2.39</t>
  </si>
  <si>
    <t>2.40</t>
  </si>
  <si>
    <t>2.41</t>
  </si>
  <si>
    <t>2.42</t>
  </si>
  <si>
    <t>2.43</t>
  </si>
  <si>
    <t>2.44</t>
  </si>
  <si>
    <t>2.45</t>
  </si>
  <si>
    <t>2.46</t>
  </si>
  <si>
    <t>2.47</t>
  </si>
  <si>
    <t>2.48</t>
  </si>
  <si>
    <t>Unión dresser d=18" - junta de montaje (suministro e instalación)</t>
  </si>
  <si>
    <t>Manómetro de glicerina de 4"  incluye conexión mediante niple de 3/8" y buje de 3/8" x 1/2" de 0-200 psi</t>
  </si>
  <si>
    <t>Niple en acero al carbón de 14", L=0,60m brida x brida con salida lateral de 4"  bridada y salida lateral de 1/2" para conexión de manómetro</t>
  </si>
  <si>
    <t>Válvula de compuerta elastica de 4"  brida x brida</t>
  </si>
  <si>
    <t>Niple en acero al carbón de 14", L=0,60m brida x extremo liso con salida lateral de 4"  bridada, más (1) salida lateral de 4" (vertical) bridada</t>
  </si>
  <si>
    <t>Niple en acero al carbón de 4", L=0,20m brida x brida</t>
  </si>
  <si>
    <t>Codo en acero al carbón de 4"x90°, bridado</t>
  </si>
  <si>
    <t xml:space="preserve">Unión de desmontaje de 4"  </t>
  </si>
  <si>
    <t>Niple en acero al carbón de 4", L=1,41m brida x brida</t>
  </si>
  <si>
    <t>Válvula de globo de 4" bridada 150 psi</t>
  </si>
  <si>
    <t>Reducción en acero al carbón de 18"x14" extremo liso x extremo liso</t>
  </si>
  <si>
    <t>Niple en acero al carbón de 18", L=1,60m brida x extremo liso</t>
  </si>
  <si>
    <t>Válvula cheque tipo compuerta de 4" bridado</t>
  </si>
  <si>
    <t>Válvula de compuerta elastica de 6"  brida x brida</t>
  </si>
  <si>
    <t>Tee en acero al carbón de 18" x 4" bridada</t>
  </si>
  <si>
    <t xml:space="preserve">Unión rígida de desmontaje de 18"  </t>
  </si>
  <si>
    <t>Reducción excentrica en acero al carbón de 18"x14"  brida x brida</t>
  </si>
  <si>
    <t>Niple en acero al carbón de 14", L=6.40m brida x brida</t>
  </si>
  <si>
    <t>Codo en acero al carbón de 14"x 90°, bridado</t>
  </si>
  <si>
    <t>Niple en acero al carbón de 14", L=1.20m brida x extremo liso</t>
  </si>
  <si>
    <t>PROPUESTA ECONOMICA - ETAPA I</t>
  </si>
  <si>
    <t>FORMULARIO 1. PRESUPUESTO OBRA CIVIL REDES DE ACUEDUCTO - ETAPA I</t>
  </si>
  <si>
    <t>FORMULARIO 3. PRESUPUESTO ESTACIÓN DE BOMBEO - ETAPA I</t>
  </si>
  <si>
    <t>REALIZAR LA CONSTRUCCION DE LA INFRAESTRUCTURA PARA EL ABASTECIMIENTO DE AGUA POTABLE MEDIANTE LA INTERCONEXIÓN AL SISTEMA DE ACUEDUCTO OPERADO POR LA EMPRESA DE ACUEDUCTO DE BOGOTÁ SA E.S.P. AL MUNICIPIO DE COTA – PRIMERA ETAPA</t>
  </si>
  <si>
    <t>C.PU.- EMSERCOTA-002-2019</t>
  </si>
  <si>
    <t>TUBERIA GRP 600mm  (INCLUYE TRANSPORTE). SUMINISTRO E INSTALACION.</t>
  </si>
  <si>
    <t>Replanteo general</t>
  </si>
  <si>
    <t>Excavación manual en material común (Incluye cargue)</t>
  </si>
  <si>
    <t>Transporte y disposición final de escombros en sitio autorizado (Distancia de transporte 21 km). a distancia mayor del acarreo libre (90 m) en sitio autorizado por la entidad ambiental competente</t>
  </si>
  <si>
    <t>Relleno con grava entre 3/4" y 1/2" para filtros (relación 1:1) suministro y colocación. (Incluye transporte, suministro, extendido manual y colocación)</t>
  </si>
  <si>
    <t>Geotextil nt 4000 para subdrenes/filtros (incluye suministro e instalación)</t>
  </si>
  <si>
    <t>Concreto 14 MPa para solados (Premezclado. Incluye suministro y colocación)</t>
  </si>
  <si>
    <t>Acero de refuerzo (Incluye suministro, figurado y fijación)</t>
  </si>
  <si>
    <t>Concreto 4000 psi (28 MPa) para tanque de bombeo - cuarto bombas, cámaras y/o pozos e inspección (Premezclado. incluye suministro, formaleteo, colocación y curado. no incluye refuerzo)</t>
  </si>
  <si>
    <t>Concreto 4000 psi para columnas. (Premezclado. incluye suministro, formaleteo, curado y colocación. no incl. refuerzo)</t>
  </si>
  <si>
    <t>Concreto 4000 psi para placas y vigas aereas (premezclado. Incluye suministro, formaleteo, colocación y curado. No incluye refuerzo</t>
  </si>
  <si>
    <t>Relleno en material seleccionado proveniente de la excavación (extendido manual, humedecimiento y compactación)</t>
  </si>
  <si>
    <t>ENTIBADO TIPO 2 (1/7 UTILIZACIONES)</t>
  </si>
  <si>
    <t>RELLENO CON MATERIAL DE EXCAVACIÓN</t>
  </si>
  <si>
    <t>RELLENO TIPO 2 "RECEBO"</t>
  </si>
  <si>
    <t>RELLENO TIPO 7 "ARENA DE PEÑA"</t>
  </si>
  <si>
    <t>RETIRO DE SOBRANTES A UNA DISTANCIA DE 5 KM (INCLUYE CARGUE)</t>
  </si>
  <si>
    <t>EXCAVACIÓN MANUAL EN MATERIAL COMÚN H=0.0-2.0 M (INCLUYE RETIRO DE SOBRANTES A UNA DISTANCIA MENOR DE 5 KM)</t>
  </si>
  <si>
    <t>ACOPLE GRP 600mm. SUMINISTRO E INSTALACION.</t>
  </si>
  <si>
    <t>Tee A.C. de 24" x 4" Excentrica Bridada</t>
  </si>
  <si>
    <t>Válvula de compuerta sello en bronce de 4" de diámetro BxB</t>
  </si>
  <si>
    <t>Válvula Cheque tipo compuerta de 4" de diámetro Bridado</t>
  </si>
  <si>
    <t xml:space="preserve">Tee partida de 24"x6" </t>
  </si>
  <si>
    <t>Válvula de compuerta sello en bronce de 6" de diámetro BxB</t>
  </si>
  <si>
    <t>Válvula ventosa de triple propósito, cinética de 6" de diámetro Bridada</t>
  </si>
  <si>
    <t>Bridas GRP de 24" de diámetro ANSI 150</t>
  </si>
  <si>
    <t>NIVELACION Y COMPACTACIÓN DE SUBRASANTE</t>
  </si>
  <si>
    <t>GEOTEXTIL NT 2500 PARA SEPARACION SUBRASANTE/CAPAS GRANULARES (Incluye Suministro e Instalación)</t>
  </si>
  <si>
    <t>SUBBASE GRANULAR CLASE A (SBG_A) (Suministro, Extendido, Nivelación, Humedecimiento y Compactación con vibrocompactador)</t>
  </si>
  <si>
    <t>BASE GRANULAR CLASE A (BG_A) (Suministro, Extendido, Nivelación, Humedecimiento y Compactación con vibrocompactador)</t>
  </si>
  <si>
    <t>MEZCLA ASFÁLTICA EN CALIENTE TIPO DENSO MD20 ASFALTO CONVENCIONAL 60-70 (Suministro, Extendido, Nivelación y Compactación con vibrocompactador y compactador de llantas)</t>
  </si>
  <si>
    <t>MEZCLA ASFÁLTICA EN CALIENTE TIPO DENSO MD12 ASFALTO CONVENCIONAL 80-100  (cemento asfáltico 80-100) (Suministro, Extendido, Nivelación y Compactación con Vibrocompactador y compactador de llantas)</t>
  </si>
  <si>
    <t>IMPRIMACIÓN CON EMULSIÓN ASFÁLTICA CRL-1 (INCLUYE SUMINISTRO, BARRIDO DE SUPERFICIE Y RIEGO).</t>
  </si>
  <si>
    <t>RIEGO DE LIGA CON EMULSION ASFALTICA CRR-1 (Suministro, Barrido Superficie y Riego)</t>
  </si>
  <si>
    <t>MORTERO 1:3 (Hecho en Obra)</t>
  </si>
  <si>
    <t>ENTIBADO EC-5 CONTINUO MADERA CON PERFILES DE METÁLICOS Y PARALES TELESCÓPICOS. SUMINISTRO E INSTALACIÓN.</t>
  </si>
  <si>
    <t>ORDEN</t>
  </si>
  <si>
    <t>CONTRATISTA</t>
  </si>
  <si>
    <t>NUMERO DE CONTRATO</t>
  </si>
  <si>
    <t>OBJETO</t>
  </si>
  <si>
    <t>CONTRATANTE (RAZON SOCIAL)</t>
  </si>
  <si>
    <t>FORMA DE EJECUCION</t>
  </si>
  <si>
    <t>PORCENTAJE DE PARTICIPACION</t>
  </si>
  <si>
    <t>FECHA DE INICIO</t>
  </si>
  <si>
    <t>FECHA DE TERMINACION</t>
  </si>
  <si>
    <t>VALOR TOTAL EJECUTADO O FACTURADO DEL CONTRATO (Incluido IVA)</t>
  </si>
  <si>
    <t>En Miles de Pesos</t>
  </si>
  <si>
    <t>En SMMLV</t>
  </si>
  <si>
    <t>OBSERVACIONES</t>
  </si>
  <si>
    <t>* Este Anexo deberá diligenciarse en todas las columnas.  La información inlucida en el será responsabiliad del proponente.</t>
  </si>
  <si>
    <t>EXPERIENCIA GENERAL DEL PROPONENTE</t>
  </si>
  <si>
    <t>CANTIDAD SOLICITADA No. 1</t>
  </si>
  <si>
    <t>CANTIDAD SOLICITADA No. 2</t>
  </si>
  <si>
    <t>* Los Proponentes deberán registrar en este Anexo, máximo tres (2) contratos con los cuales se evaluarán los requisitos Habilitantes para la Experiencia General.</t>
  </si>
  <si>
    <t>EXPERIENCIA ESPECIFICA DEL PROPONENTE</t>
  </si>
  <si>
    <t>* Los Proponentes deberán registrar en este Anexo, máximo dos (2) contratos con los cuales se evaluarán los requisitos Habilitantes para la Experiencia Especifica.</t>
  </si>
  <si>
    <t>ANEXO No. 2A</t>
  </si>
  <si>
    <t>ANEXO No. 2B</t>
  </si>
  <si>
    <t>* Recuerdese que se evaluarán máximo cinco (5) contratos para la Información de los Requisitos Habilitantes (General y Especifica).  Si un Consorcio o Unión Temporal constituye un proponente, todos su miembros pueden incluir su experiencia en este mismo anexo.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</si>
</sst>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4" formatCode="_(&quot;$&quot;\ * #,##0.00_);_(&quot;$&quot;\ * \(#,##0.00\);_(&quot;$&quot;\ * &quot;-&quot;??_);_(@_)"/>
    <numFmt numFmtId="43" formatCode="_(* #,##0.00_);_(* \(#,##0.00\);_(* &quot;-&quot;??_);_(@_)"/>
    <numFmt numFmtId="164" formatCode="&quot;$&quot;#,##0;[Red]\-&quot;$&quot;#,##0"/>
    <numFmt numFmtId="165" formatCode="_-* #,##0.00\ _€_-;\-* #,##0.00\ _€_-;_-* &quot;-&quot;??\ _€_-;_-@_-"/>
    <numFmt numFmtId="166" formatCode="_(&quot;$&quot;\ * #,##0_);_(&quot;$&quot;\ * \(#,##0\);_(&quot;$&quot;\ * &quot;-&quot;??_);_(@_)"/>
    <numFmt numFmtId="167" formatCode="0.000"/>
    <numFmt numFmtId="168" formatCode="0.0"/>
    <numFmt numFmtId="169" formatCode="_(* #,##0_);_(* \(#,##0\);_(* &quot;-&quot;??_);_(@_)"/>
    <numFmt numFmtId="170" formatCode="_-* #,##0.00\ _P_t_s_-;\-* #,##0.00\ _P_t_s_-;_-* &quot;-&quot;??\ _P_t_s_-;_-@_-"/>
    <numFmt numFmtId="171" formatCode="_-* #,##0.000\ _€_-;\-* #,##0.000\ _€_-;_-* &quot;-&quot;??\ _€_-;_-@_-"/>
    <numFmt numFmtId="172" formatCode="_-* #,##0\ _€_-;\-* #,##0\ _€_-;_-* &quot;-&quot;??\ _€_-;_-@_-"/>
    <numFmt numFmtId="173" formatCode="_-* #,##0.000\ _P_t_s_-;\-* #,##0.000\ _P_t_s_-;_-* &quot;-&quot;??\ _P_t_s_-;_-@_-"/>
    <numFmt numFmtId="174" formatCode="_-* #,##0.0000\ _P_t_s_-;\-* #,##0.0000\ _P_t_s_-;_-* &quot;-&quot;??\ _P_t_s_-;_-@_-"/>
    <numFmt numFmtId="175" formatCode="_-* #,##0.000000\ _P_t_s_-;\-* #,##0.000000\ _P_t_s_-;_-* &quot;-&quot;??\ _P_t_s_-;_-@_-"/>
    <numFmt numFmtId="176" formatCode="_(* #,##0.000_);_(* \(#,##0.000\);_(* &quot;-&quot;??_);_(@_)"/>
    <numFmt numFmtId="177" formatCode="_-* #,##0.0\ _P_t_s_-;\-* #,##0.0\ _P_t_s_-;_-* &quot;-&quot;??\ _P_t_s_-;_-@_-"/>
    <numFmt numFmtId="178" formatCode="_-* #,##0.0000\ _€_-;\-* #,##0.0000\ _€_-;_-* &quot;-&quot;??\ _€_-;_-@_-"/>
    <numFmt numFmtId="179" formatCode="_-* #,##0\ _P_t_s_-;\-* #,##0\ _P_t_s_-;_-* &quot;-&quot;??\ _P_t_s_-;_-@_-"/>
    <numFmt numFmtId="180" formatCode="_-[$€-2]* #,##0.00_-;\-[$€-2]* #,##0.00_-;_-[$€-2]* &quot;-&quot;??_-"/>
    <numFmt numFmtId="181" formatCode="0.00_)"/>
    <numFmt numFmtId="182" formatCode="&quot;$&quot;\ #,##0"/>
    <numFmt numFmtId="183" formatCode="[$$-240A]\ #,##0_);\([$$-240A]\ #,##0\)"/>
    <numFmt numFmtId="184" formatCode="&quot;$&quot;#,##0"/>
    <numFmt numFmtId="185" formatCode="[$$-240A]#,##0"/>
    <numFmt numFmtId="186" formatCode="[$$-240A]\ #,##0"/>
    <numFmt numFmtId="187" formatCode="[$$-240A]\ #,##0.00"/>
    <numFmt numFmtId="188"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9"/>
      <name val="Tahoma"/>
      <family val="2"/>
    </font>
    <font>
      <sz val="11"/>
      <name val="Tahoma"/>
      <family val="2"/>
    </font>
    <font>
      <sz val="11"/>
      <color rgb="FF00B050"/>
      <name val="Tahoma"/>
      <family val="2"/>
    </font>
    <font>
      <sz val="10"/>
      <name val="Arial"/>
      <family val="2"/>
    </font>
    <font>
      <sz val="11"/>
      <name val="Calibri"/>
      <family val="2"/>
      <scheme val="minor"/>
    </font>
    <font>
      <sz val="10"/>
      <name val="Arial"/>
      <family val="2"/>
    </font>
    <font>
      <sz val="11"/>
      <color theme="1"/>
      <name val="Arial"/>
      <family val="2"/>
    </font>
    <font>
      <b/>
      <sz val="8"/>
      <color indexed="8"/>
      <name val="Arial"/>
      <family val="2"/>
    </font>
    <font>
      <b/>
      <sz val="11"/>
      <color indexed="8"/>
      <name val="Arial"/>
      <family val="2"/>
    </font>
    <font>
      <b/>
      <sz val="10"/>
      <color theme="1"/>
      <name val="Arial"/>
      <family val="2"/>
    </font>
    <font>
      <sz val="10"/>
      <color theme="1"/>
      <name val="Arial"/>
      <family val="2"/>
    </font>
    <font>
      <sz val="11"/>
      <color indexed="8"/>
      <name val="Arial"/>
      <family val="2"/>
    </font>
    <font>
      <b/>
      <sz val="11"/>
      <color theme="1"/>
      <name val="Arial"/>
      <family val="2"/>
    </font>
    <font>
      <b/>
      <sz val="9"/>
      <name val="Tahoma"/>
      <family val="2"/>
    </font>
    <font>
      <b/>
      <sz val="11"/>
      <name val="Tahoma"/>
      <family val="2"/>
    </font>
    <font>
      <b/>
      <vertAlign val="superscript"/>
      <sz val="9"/>
      <name val="Tahoma"/>
      <family val="2"/>
    </font>
    <font>
      <sz val="10"/>
      <name val="Courier"/>
      <family val="3"/>
    </font>
    <font>
      <sz val="10"/>
      <name val="MS Sans Serif"/>
      <family val="2"/>
    </font>
    <font>
      <b/>
      <sz val="20"/>
      <color theme="1"/>
      <name val="Calibri"/>
      <family val="2"/>
      <scheme val="minor"/>
    </font>
    <font>
      <sz val="10"/>
      <name val="Courier"/>
    </font>
    <font>
      <u/>
      <sz val="7.8"/>
      <color indexed="12"/>
      <name val="Courier"/>
      <family val="3"/>
    </font>
    <font>
      <b/>
      <sz val="10"/>
      <color theme="1"/>
      <name val="Tahoma"/>
      <family val="2"/>
    </font>
    <font>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00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6">
    <xf numFmtId="0" fontId="0" fillId="0" borderId="0"/>
    <xf numFmtId="43" fontId="1" fillId="0" borderId="0" applyFont="0" applyFill="0" applyBorder="0" applyAlignment="0" applyProtection="0"/>
    <xf numFmtId="44" fontId="1" fillId="0" borderId="0" applyFont="0" applyFill="0" applyBorder="0" applyAlignment="0" applyProtection="0"/>
    <xf numFmtId="0" fontId="6" fillId="0" borderId="0"/>
    <xf numFmtId="0" fontId="6" fillId="0" borderId="0"/>
    <xf numFmtId="170" fontId="6" fillId="0" borderId="0" applyFont="0" applyFill="0" applyBorder="0" applyAlignment="0" applyProtection="0"/>
    <xf numFmtId="43" fontId="1" fillId="0" borderId="0" applyFont="0" applyFill="0" applyBorder="0" applyAlignment="0" applyProtection="0"/>
    <xf numFmtId="0" fontId="8" fillId="0" borderId="0"/>
    <xf numFmtId="180"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181" fontId="19" fillId="0" borderId="0"/>
    <xf numFmtId="40" fontId="20" fillId="0" borderId="0" applyFont="0" applyFill="0" applyBorder="0" applyAlignment="0" applyProtection="0"/>
    <xf numFmtId="38"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40" fontId="20" fillId="0" borderId="0" applyFont="0" applyFill="0" applyBorder="0" applyAlignment="0" applyProtection="0"/>
    <xf numFmtId="181" fontId="22" fillId="0" borderId="0"/>
    <xf numFmtId="0" fontId="23" fillId="0" borderId="0" applyNumberFormat="0" applyFill="0" applyBorder="0" applyAlignment="0" applyProtection="0">
      <alignment vertical="top"/>
      <protection locked="0"/>
    </xf>
    <xf numFmtId="40" fontId="20" fillId="0" borderId="0" applyFont="0" applyFill="0" applyBorder="0" applyAlignment="0" applyProtection="0"/>
  </cellStyleXfs>
  <cellXfs count="439">
    <xf numFmtId="0" fontId="0" fillId="0" borderId="0" xfId="0"/>
    <xf numFmtId="43" fontId="2" fillId="0" borderId="0" xfId="1" applyFont="1"/>
    <xf numFmtId="0" fontId="2" fillId="0" borderId="0" xfId="0" applyFont="1"/>
    <xf numFmtId="0" fontId="0" fillId="0" borderId="1" xfId="0" applyBorder="1"/>
    <xf numFmtId="0" fontId="0" fillId="0" borderId="0" xfId="0" applyAlignment="1">
      <alignment horizontal="center"/>
    </xf>
    <xf numFmtId="0" fontId="2" fillId="0" borderId="0" xfId="0" applyFont="1" applyAlignment="1">
      <alignment wrapText="1"/>
    </xf>
    <xf numFmtId="0" fontId="2" fillId="0" borderId="1" xfId="0" applyFont="1" applyBorder="1"/>
    <xf numFmtId="0" fontId="0" fillId="0" borderId="1" xfId="0" applyBorder="1" applyAlignment="1">
      <alignment horizontal="center"/>
    </xf>
    <xf numFmtId="0" fontId="0" fillId="0" borderId="0" xfId="0" applyFill="1" applyBorder="1"/>
    <xf numFmtId="44" fontId="0" fillId="0" borderId="1" xfId="2" applyFont="1" applyBorder="1"/>
    <xf numFmtId="166" fontId="0" fillId="0" borderId="1" xfId="2" applyNumberFormat="1" applyFont="1" applyBorder="1"/>
    <xf numFmtId="0" fontId="2" fillId="0" borderId="0" xfId="0" applyFont="1" applyFill="1" applyBorder="1"/>
    <xf numFmtId="0" fontId="0" fillId="0" borderId="1" xfId="0" applyFill="1" applyBorder="1"/>
    <xf numFmtId="0" fontId="2" fillId="0" borderId="1" xfId="0" applyFont="1" applyBorder="1" applyAlignment="1">
      <alignment horizontal="left"/>
    </xf>
    <xf numFmtId="0" fontId="2" fillId="0" borderId="1" xfId="0" applyFont="1" applyFill="1" applyBorder="1"/>
    <xf numFmtId="0" fontId="2" fillId="0" borderId="1" xfId="0" applyFont="1" applyFill="1" applyBorder="1" applyAlignment="1">
      <alignment wrapText="1"/>
    </xf>
    <xf numFmtId="0" fontId="0" fillId="0" borderId="1" xfId="0" applyFont="1" applyBorder="1"/>
    <xf numFmtId="0" fontId="2" fillId="0" borderId="1" xfId="0" applyFont="1" applyBorder="1" applyAlignment="1">
      <alignment wrapText="1"/>
    </xf>
    <xf numFmtId="0" fontId="0" fillId="0" borderId="1" xfId="0" applyBorder="1" applyAlignment="1">
      <alignment wrapText="1"/>
    </xf>
    <xf numFmtId="0" fontId="0" fillId="0" borderId="1" xfId="0" applyFont="1" applyBorder="1" applyAlignment="1">
      <alignment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167" fontId="4"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4" fillId="0" borderId="1" xfId="0" applyNumberFormat="1" applyFont="1" applyFill="1" applyBorder="1"/>
    <xf numFmtId="2" fontId="4" fillId="0" borderId="1" xfId="0" applyNumberFormat="1" applyFont="1" applyFill="1" applyBorder="1" applyAlignment="1">
      <alignment horizontal="center"/>
    </xf>
    <xf numFmtId="2" fontId="4" fillId="0" borderId="1" xfId="0" applyNumberFormat="1" applyFont="1" applyFill="1" applyBorder="1" applyAlignment="1">
      <alignment horizontal="center" vertical="center"/>
    </xf>
    <xf numFmtId="0" fontId="4" fillId="0" borderId="1" xfId="0" applyFont="1" applyFill="1" applyBorder="1"/>
    <xf numFmtId="2" fontId="4" fillId="0" borderId="1" xfId="0" applyNumberFormat="1" applyFont="1" applyFill="1" applyBorder="1" applyAlignment="1">
      <alignment vertical="center"/>
    </xf>
    <xf numFmtId="1" fontId="4" fillId="0" borderId="1" xfId="0" applyNumberFormat="1" applyFont="1" applyFill="1" applyBorder="1" applyAlignment="1">
      <alignment horizontal="center"/>
    </xf>
    <xf numFmtId="168" fontId="4" fillId="0" borderId="1" xfId="0" applyNumberFormat="1" applyFont="1" applyFill="1" applyBorder="1" applyAlignment="1">
      <alignment horizontal="center"/>
    </xf>
    <xf numFmtId="167" fontId="4" fillId="0" borderId="1" xfId="0" applyNumberFormat="1" applyFont="1" applyFill="1" applyBorder="1" applyAlignment="1">
      <alignment horizont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0" xfId="0" applyFont="1" applyBorder="1" applyAlignment="1">
      <alignment vertical="center"/>
    </xf>
    <xf numFmtId="0" fontId="7" fillId="0" borderId="0" xfId="3" applyFont="1" applyFill="1" applyBorder="1" applyAlignment="1">
      <alignment vertical="center" wrapText="1"/>
    </xf>
    <xf numFmtId="0" fontId="0" fillId="0" borderId="0" xfId="0" applyBorder="1" applyAlignment="1">
      <alignment horizontal="center" vertical="center"/>
    </xf>
    <xf numFmtId="0" fontId="0" fillId="0" borderId="0" xfId="0" applyFont="1" applyBorder="1" applyAlignment="1">
      <alignment horizontal="center" vertical="center"/>
    </xf>
    <xf numFmtId="44" fontId="0" fillId="0" borderId="0" xfId="2" applyFont="1" applyBorder="1" applyAlignment="1">
      <alignment vertical="center"/>
    </xf>
    <xf numFmtId="166" fontId="0" fillId="0" borderId="0" xfId="2" applyNumberFormat="1" applyFont="1" applyBorder="1" applyAlignment="1">
      <alignment vertical="center"/>
    </xf>
    <xf numFmtId="0" fontId="0" fillId="0" borderId="0" xfId="0" applyFont="1" applyAlignment="1">
      <alignment vertical="center"/>
    </xf>
    <xf numFmtId="0" fontId="6" fillId="2" borderId="8" xfId="4" applyFont="1" applyFill="1" applyBorder="1"/>
    <xf numFmtId="0" fontId="9" fillId="0" borderId="1" xfId="0" applyFont="1" applyFill="1" applyBorder="1"/>
    <xf numFmtId="2" fontId="6" fillId="2" borderId="9" xfId="4" applyNumberFormat="1" applyFont="1" applyFill="1" applyBorder="1"/>
    <xf numFmtId="171" fontId="9" fillId="2" borderId="9" xfId="5" applyNumberFormat="1" applyFont="1" applyFill="1" applyBorder="1"/>
    <xf numFmtId="172" fontId="9" fillId="2" borderId="9" xfId="5" applyNumberFormat="1" applyFont="1" applyFill="1" applyBorder="1"/>
    <xf numFmtId="172" fontId="9" fillId="2" borderId="10" xfId="5" applyNumberFormat="1" applyFont="1" applyFill="1" applyBorder="1"/>
    <xf numFmtId="0" fontId="9" fillId="0" borderId="0" xfId="0" applyFont="1"/>
    <xf numFmtId="0" fontId="6" fillId="2" borderId="11" xfId="4" applyFont="1" applyFill="1" applyBorder="1" applyAlignment="1">
      <alignment vertical="center"/>
    </xf>
    <xf numFmtId="0" fontId="9" fillId="0" borderId="0" xfId="0" applyFont="1" applyAlignment="1">
      <alignment horizontal="center"/>
    </xf>
    <xf numFmtId="0" fontId="6" fillId="2" borderId="14" xfId="4" applyFont="1" applyFill="1" applyBorder="1" applyAlignment="1">
      <alignment vertical="center"/>
    </xf>
    <xf numFmtId="0" fontId="6" fillId="2" borderId="15" xfId="4" applyFont="1" applyFill="1" applyBorder="1" applyAlignment="1">
      <alignment vertical="center"/>
    </xf>
    <xf numFmtId="0" fontId="6" fillId="2" borderId="16" xfId="4" applyFont="1" applyFill="1" applyBorder="1" applyAlignment="1">
      <alignment vertical="center"/>
    </xf>
    <xf numFmtId="170" fontId="9" fillId="2" borderId="16" xfId="5" applyNumberFormat="1" applyFont="1" applyFill="1" applyBorder="1" applyAlignment="1">
      <alignment vertical="center"/>
    </xf>
    <xf numFmtId="172" fontId="6" fillId="2" borderId="17" xfId="4" applyNumberFormat="1" applyFont="1" applyFill="1" applyBorder="1" applyAlignment="1">
      <alignment vertical="center"/>
    </xf>
    <xf numFmtId="0" fontId="6" fillId="2" borderId="18" xfId="4" applyFont="1" applyFill="1" applyBorder="1"/>
    <xf numFmtId="0" fontId="6" fillId="2" borderId="9" xfId="4" applyFont="1" applyFill="1" applyBorder="1"/>
    <xf numFmtId="0" fontId="6" fillId="2" borderId="19" xfId="4" applyFont="1" applyFill="1" applyBorder="1"/>
    <xf numFmtId="171" fontId="9" fillId="2" borderId="19" xfId="5" applyNumberFormat="1" applyFont="1" applyFill="1" applyBorder="1"/>
    <xf numFmtId="172" fontId="9" fillId="2" borderId="19" xfId="5" applyNumberFormat="1" applyFont="1" applyFill="1" applyBorder="1"/>
    <xf numFmtId="172" fontId="9" fillId="2" borderId="20" xfId="5" applyNumberFormat="1" applyFont="1" applyFill="1" applyBorder="1"/>
    <xf numFmtId="0" fontId="10" fillId="2" borderId="11" xfId="4" applyFont="1" applyFill="1" applyBorder="1" applyAlignment="1">
      <alignment horizontal="center"/>
    </xf>
    <xf numFmtId="0" fontId="10" fillId="2" borderId="1" xfId="4" applyFont="1" applyFill="1" applyBorder="1" applyAlignment="1">
      <alignment horizontal="center"/>
    </xf>
    <xf numFmtId="172" fontId="10" fillId="2" borderId="1" xfId="5" applyNumberFormat="1" applyFont="1" applyFill="1" applyBorder="1" applyAlignment="1">
      <alignment horizontal="center"/>
    </xf>
    <xf numFmtId="172" fontId="10" fillId="2" borderId="21" xfId="5" applyNumberFormat="1" applyFont="1" applyFill="1" applyBorder="1" applyAlignment="1">
      <alignment horizontal="center"/>
    </xf>
    <xf numFmtId="0" fontId="6" fillId="2" borderId="11" xfId="4" applyFont="1" applyFill="1" applyBorder="1"/>
    <xf numFmtId="0" fontId="6" fillId="2" borderId="1" xfId="4" applyFont="1" applyFill="1" applyBorder="1"/>
    <xf numFmtId="170" fontId="9" fillId="2" borderId="2" xfId="5" applyFont="1" applyFill="1" applyBorder="1" applyAlignment="1">
      <alignment horizontal="center"/>
    </xf>
    <xf numFmtId="170" fontId="9" fillId="2" borderId="3" xfId="5" applyFont="1" applyFill="1" applyBorder="1" applyAlignment="1">
      <alignment horizontal="center"/>
    </xf>
    <xf numFmtId="173" fontId="9" fillId="2" borderId="1" xfId="5" applyNumberFormat="1" applyFont="1" applyFill="1" applyBorder="1"/>
    <xf numFmtId="170" fontId="9" fillId="2" borderId="21" xfId="5" applyFont="1" applyFill="1" applyBorder="1"/>
    <xf numFmtId="170" fontId="9" fillId="2" borderId="1" xfId="5" applyFont="1" applyFill="1" applyBorder="1"/>
    <xf numFmtId="0" fontId="6" fillId="2" borderId="22" xfId="4" applyFont="1" applyFill="1" applyBorder="1"/>
    <xf numFmtId="0" fontId="6" fillId="2" borderId="12" xfId="4" applyFont="1" applyFill="1" applyBorder="1"/>
    <xf numFmtId="165" fontId="11" fillId="2" borderId="21" xfId="5" applyNumberFormat="1" applyFont="1" applyFill="1" applyBorder="1"/>
    <xf numFmtId="0" fontId="6" fillId="2" borderId="23" xfId="4" applyFont="1" applyFill="1" applyBorder="1"/>
    <xf numFmtId="0" fontId="6" fillId="2" borderId="0" xfId="4" applyFont="1" applyFill="1" applyBorder="1"/>
    <xf numFmtId="171" fontId="9" fillId="2" borderId="0" xfId="5" applyNumberFormat="1" applyFont="1" applyFill="1" applyBorder="1"/>
    <xf numFmtId="172" fontId="9" fillId="2" borderId="0" xfId="5" applyNumberFormat="1" applyFont="1" applyFill="1" applyBorder="1"/>
    <xf numFmtId="172" fontId="9" fillId="2" borderId="24" xfId="5" applyNumberFormat="1" applyFont="1" applyFill="1" applyBorder="1"/>
    <xf numFmtId="0" fontId="6" fillId="2" borderId="11" xfId="4" applyFont="1" applyFill="1" applyBorder="1" applyAlignment="1">
      <alignment horizontal="left" wrapText="1"/>
    </xf>
    <xf numFmtId="170" fontId="9" fillId="2" borderId="2" xfId="5" applyNumberFormat="1" applyFont="1" applyFill="1" applyBorder="1" applyAlignment="1">
      <alignment horizontal="center"/>
    </xf>
    <xf numFmtId="174" fontId="9" fillId="2" borderId="12" xfId="5" applyNumberFormat="1" applyFont="1" applyFill="1" applyBorder="1" applyAlignment="1">
      <alignment horizontal="center"/>
    </xf>
    <xf numFmtId="170" fontId="9" fillId="2" borderId="1" xfId="5" applyNumberFormat="1" applyFont="1" applyFill="1" applyBorder="1"/>
    <xf numFmtId="170" fontId="9" fillId="2" borderId="21" xfId="5" applyNumberFormat="1" applyFont="1" applyFill="1" applyBorder="1"/>
    <xf numFmtId="0" fontId="6" fillId="2" borderId="11" xfId="4" applyFont="1" applyFill="1" applyBorder="1" applyAlignment="1">
      <alignment wrapText="1"/>
    </xf>
    <xf numFmtId="175" fontId="9" fillId="2" borderId="2" xfId="5" applyNumberFormat="1" applyFont="1" applyFill="1" applyBorder="1" applyAlignment="1">
      <alignment horizontal="center"/>
    </xf>
    <xf numFmtId="174" fontId="9" fillId="2" borderId="2" xfId="5" applyNumberFormat="1" applyFont="1" applyFill="1" applyBorder="1" applyAlignment="1">
      <alignment horizontal="center"/>
    </xf>
    <xf numFmtId="171" fontId="9" fillId="2" borderId="12" xfId="5" applyNumberFormat="1" applyFont="1" applyFill="1" applyBorder="1"/>
    <xf numFmtId="172" fontId="9" fillId="2" borderId="12" xfId="5" applyNumberFormat="1" applyFont="1" applyFill="1" applyBorder="1"/>
    <xf numFmtId="172" fontId="9" fillId="2" borderId="13" xfId="5" applyNumberFormat="1" applyFont="1" applyFill="1" applyBorder="1"/>
    <xf numFmtId="171" fontId="10" fillId="2" borderId="1" xfId="5" applyNumberFormat="1" applyFont="1" applyFill="1" applyBorder="1" applyAlignment="1">
      <alignment horizontal="center"/>
    </xf>
    <xf numFmtId="0" fontId="6" fillId="2" borderId="1" xfId="4" applyFont="1" applyFill="1" applyBorder="1" applyAlignment="1">
      <alignment horizontal="center"/>
    </xf>
    <xf numFmtId="176" fontId="6" fillId="2" borderId="1" xfId="6" applyNumberFormat="1" applyFont="1" applyFill="1" applyBorder="1"/>
    <xf numFmtId="177" fontId="9" fillId="2" borderId="1" xfId="5" applyNumberFormat="1" applyFont="1" applyFill="1" applyBorder="1" applyAlignment="1">
      <alignment horizontal="center"/>
    </xf>
    <xf numFmtId="171" fontId="9" fillId="2" borderId="1" xfId="1" applyNumberFormat="1" applyFont="1" applyFill="1" applyBorder="1"/>
    <xf numFmtId="178" fontId="9" fillId="2" borderId="1" xfId="5" applyNumberFormat="1" applyFont="1" applyFill="1" applyBorder="1"/>
    <xf numFmtId="165" fontId="9" fillId="2" borderId="21" xfId="5" applyNumberFormat="1" applyFont="1" applyFill="1" applyBorder="1"/>
    <xf numFmtId="171" fontId="10" fillId="2" borderId="2" xfId="5" applyNumberFormat="1" applyFont="1" applyFill="1" applyBorder="1" applyAlignment="1">
      <alignment horizontal="center" wrapText="1"/>
    </xf>
    <xf numFmtId="0" fontId="6" fillId="2" borderId="0" xfId="4" applyFont="1" applyFill="1"/>
    <xf numFmtId="0" fontId="11" fillId="2" borderId="6" xfId="4" applyFont="1" applyFill="1" applyBorder="1" applyAlignment="1"/>
    <xf numFmtId="0" fontId="11" fillId="2" borderId="25" xfId="4" applyFont="1" applyFill="1" applyBorder="1" applyAlignment="1"/>
    <xf numFmtId="0" fontId="11" fillId="2" borderId="7" xfId="4" applyFont="1" applyFill="1" applyBorder="1" applyAlignment="1"/>
    <xf numFmtId="172" fontId="11" fillId="2" borderId="26" xfId="5" applyNumberFormat="1" applyFont="1" applyFill="1" applyBorder="1"/>
    <xf numFmtId="0" fontId="11" fillId="2" borderId="8" xfId="4" applyFont="1" applyFill="1" applyBorder="1" applyAlignment="1"/>
    <xf numFmtId="0" fontId="11" fillId="2" borderId="27" xfId="4" applyFont="1" applyFill="1" applyBorder="1" applyAlignment="1"/>
    <xf numFmtId="0" fontId="12" fillId="2" borderId="28" xfId="4" applyFont="1" applyFill="1" applyBorder="1" applyAlignment="1">
      <alignment horizontal="center" vertical="center" wrapText="1"/>
    </xf>
    <xf numFmtId="0" fontId="13" fillId="2" borderId="1" xfId="4" applyFont="1" applyFill="1" applyBorder="1" applyAlignment="1">
      <alignment horizontal="center" vertical="center" wrapText="1"/>
    </xf>
    <xf numFmtId="165" fontId="14" fillId="2" borderId="21" xfId="5" applyNumberFormat="1" applyFont="1" applyFill="1" applyBorder="1"/>
    <xf numFmtId="10" fontId="14" fillId="2" borderId="1" xfId="4" applyNumberFormat="1" applyFont="1" applyFill="1" applyBorder="1" applyAlignment="1"/>
    <xf numFmtId="0" fontId="13" fillId="2" borderId="11"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12" fillId="2" borderId="11" xfId="4" applyFont="1" applyFill="1" applyBorder="1" applyAlignment="1">
      <alignment horizontal="left" vertical="center" wrapText="1"/>
    </xf>
    <xf numFmtId="0" fontId="12" fillId="2" borderId="1" xfId="4" applyFont="1" applyFill="1" applyBorder="1" applyAlignment="1">
      <alignment horizontal="left" vertical="center" wrapText="1"/>
    </xf>
    <xf numFmtId="0" fontId="15" fillId="2" borderId="1" xfId="4" applyFont="1" applyFill="1" applyBorder="1" applyAlignment="1">
      <alignment horizontal="right" vertical="center"/>
    </xf>
    <xf numFmtId="165" fontId="15" fillId="2" borderId="21" xfId="4" applyNumberFormat="1" applyFont="1" applyFill="1" applyBorder="1" applyAlignment="1">
      <alignment vertical="center" wrapText="1"/>
    </xf>
    <xf numFmtId="165" fontId="11" fillId="2" borderId="30" xfId="5" applyNumberFormat="1" applyFont="1" applyFill="1" applyBorder="1"/>
    <xf numFmtId="2" fontId="6" fillId="2" borderId="27" xfId="4" applyNumberFormat="1" applyFont="1" applyFill="1" applyBorder="1"/>
    <xf numFmtId="0" fontId="6" fillId="2" borderId="11" xfId="4" applyFont="1" applyFill="1" applyBorder="1" applyAlignment="1">
      <alignment horizontal="center" wrapText="1"/>
    </xf>
    <xf numFmtId="168" fontId="9" fillId="0" borderId="0" xfId="0" applyNumberFormat="1" applyFont="1"/>
    <xf numFmtId="177" fontId="9" fillId="2" borderId="2" xfId="5" applyNumberFormat="1" applyFont="1" applyFill="1" applyBorder="1" applyAlignment="1">
      <alignment horizontal="center"/>
    </xf>
    <xf numFmtId="179" fontId="9" fillId="2" borderId="2" xfId="5" applyNumberFormat="1" applyFont="1" applyFill="1" applyBorder="1" applyAlignment="1">
      <alignment horizontal="center"/>
    </xf>
    <xf numFmtId="0" fontId="9" fillId="0" borderId="1" xfId="0" applyFont="1" applyBorder="1"/>
    <xf numFmtId="173" fontId="9" fillId="2" borderId="2" xfId="5" applyNumberFormat="1" applyFont="1" applyFill="1" applyBorder="1" applyAlignment="1">
      <alignment horizontal="center"/>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center" wrapText="1"/>
    </xf>
    <xf numFmtId="0" fontId="17"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left" vertical="center"/>
    </xf>
    <xf numFmtId="0" fontId="0" fillId="0" borderId="3" xfId="0" applyBorder="1"/>
    <xf numFmtId="2" fontId="0" fillId="0" borderId="1" xfId="0" applyNumberFormat="1" applyBorder="1"/>
    <xf numFmtId="2" fontId="2" fillId="0" borderId="1" xfId="0" applyNumberFormat="1" applyFont="1" applyBorder="1"/>
    <xf numFmtId="0" fontId="2" fillId="0" borderId="3" xfId="0" applyFont="1" applyBorder="1"/>
    <xf numFmtId="0" fontId="0" fillId="0" borderId="0" xfId="0" applyBorder="1"/>
    <xf numFmtId="0" fontId="0" fillId="0" borderId="0" xfId="0" applyBorder="1" applyAlignment="1"/>
    <xf numFmtId="0" fontId="0" fillId="0" borderId="0" xfId="0" applyBorder="1" applyAlignment="1">
      <alignment horizontal="center"/>
    </xf>
    <xf numFmtId="168" fontId="0" fillId="0" borderId="0" xfId="0" applyNumberFormat="1" applyBorder="1" applyAlignment="1">
      <alignment horizontal="center"/>
    </xf>
    <xf numFmtId="44" fontId="0" fillId="0" borderId="0" xfId="2" applyFont="1"/>
    <xf numFmtId="0" fontId="0" fillId="0" borderId="1" xfId="0" applyFill="1" applyBorder="1" applyAlignment="1">
      <alignment horizontal="center"/>
    </xf>
    <xf numFmtId="44" fontId="0" fillId="0" borderId="0" xfId="2" applyFont="1" applyBorder="1"/>
    <xf numFmtId="0" fontId="2" fillId="3" borderId="1" xfId="0" applyFont="1" applyFill="1" applyBorder="1"/>
    <xf numFmtId="44" fontId="2" fillId="3" borderId="1" xfId="2" applyFont="1" applyFill="1" applyBorder="1"/>
    <xf numFmtId="44" fontId="0" fillId="3" borderId="1" xfId="2" applyFont="1" applyFill="1" applyBorder="1"/>
    <xf numFmtId="0" fontId="0" fillId="3" borderId="1" xfId="0" applyFill="1" applyBorder="1"/>
    <xf numFmtId="169" fontId="0" fillId="0" borderId="0" xfId="1" applyNumberFormat="1" applyFont="1"/>
    <xf numFmtId="1" fontId="0" fillId="0" borderId="1" xfId="0" applyNumberFormat="1" applyBorder="1" applyAlignment="1">
      <alignment horizontal="center"/>
    </xf>
    <xf numFmtId="9" fontId="0" fillId="0" borderId="0" xfId="12" applyFont="1" applyAlignment="1">
      <alignment horizontal="center"/>
    </xf>
    <xf numFmtId="0" fontId="2"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4" borderId="2" xfId="0" applyFont="1" applyFill="1" applyBorder="1"/>
    <xf numFmtId="0" fontId="0" fillId="4" borderId="2" xfId="0" applyFill="1" applyBorder="1"/>
    <xf numFmtId="1" fontId="0" fillId="0" borderId="0" xfId="0" applyNumberFormat="1"/>
    <xf numFmtId="9" fontId="0" fillId="0" borderId="0" xfId="0" applyNumberFormat="1" applyAlignment="1">
      <alignment horizontal="center"/>
    </xf>
    <xf numFmtId="1" fontId="0" fillId="0" borderId="0" xfId="0" applyNumberFormat="1" applyAlignment="1">
      <alignment horizontal="center"/>
    </xf>
    <xf numFmtId="1" fontId="0" fillId="0" borderId="0" xfId="0" applyNumberFormat="1" applyFill="1" applyBorder="1" applyAlignment="1">
      <alignment horizontal="center"/>
    </xf>
    <xf numFmtId="1" fontId="0" fillId="0" borderId="1" xfId="0" applyNumberFormat="1" applyBorder="1" applyAlignment="1">
      <alignment horizontal="center" vertical="center"/>
    </xf>
    <xf numFmtId="0" fontId="0" fillId="0" borderId="1" xfId="0" applyFill="1" applyBorder="1" applyAlignment="1">
      <alignment vertical="center"/>
    </xf>
    <xf numFmtId="0" fontId="2" fillId="0" borderId="0" xfId="0" applyFont="1" applyBorder="1" applyAlignment="1">
      <alignment horizontal="center"/>
    </xf>
    <xf numFmtId="0" fontId="0" fillId="4" borderId="2" xfId="0" applyFont="1" applyFill="1" applyBorder="1"/>
    <xf numFmtId="2" fontId="2" fillId="0" borderId="0" xfId="0" applyNumberFormat="1" applyFont="1"/>
    <xf numFmtId="0" fontId="0" fillId="0" borderId="3" xfId="0" applyFont="1" applyBorder="1"/>
    <xf numFmtId="0" fontId="0" fillId="0" borderId="0" xfId="0"/>
    <xf numFmtId="0" fontId="0" fillId="0" borderId="1" xfId="0" applyBorder="1"/>
    <xf numFmtId="0" fontId="0" fillId="0" borderId="0" xfId="0" applyAlignment="1">
      <alignment horizontal="center"/>
    </xf>
    <xf numFmtId="0" fontId="0" fillId="0" borderId="1" xfId="0" applyBorder="1" applyAlignment="1">
      <alignment horizontal="center"/>
    </xf>
    <xf numFmtId="0" fontId="0" fillId="0" borderId="1" xfId="0" applyFill="1" applyBorder="1"/>
    <xf numFmtId="0" fontId="0" fillId="0" borderId="1" xfId="0" applyBorder="1" applyAlignment="1">
      <alignment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7" fillId="0" borderId="0" xfId="0" applyFont="1"/>
    <xf numFmtId="0" fontId="0" fillId="0" borderId="3" xfId="0" applyBorder="1"/>
    <xf numFmtId="0" fontId="2" fillId="0" borderId="3" xfId="0" applyFont="1" applyBorder="1"/>
    <xf numFmtId="49" fontId="4" fillId="0" borderId="1" xfId="0" applyNumberFormat="1" applyFont="1" applyFill="1" applyBorder="1" applyAlignment="1">
      <alignment horizontal="center" vertical="center" wrapText="1"/>
    </xf>
    <xf numFmtId="1" fontId="0" fillId="0" borderId="1" xfId="0" applyNumberFormat="1" applyBorder="1" applyAlignment="1">
      <alignment horizontal="center"/>
    </xf>
    <xf numFmtId="0" fontId="0" fillId="4" borderId="0" xfId="0" applyFill="1"/>
    <xf numFmtId="0" fontId="0" fillId="4" borderId="2" xfId="0" applyFill="1" applyBorder="1"/>
    <xf numFmtId="0" fontId="0" fillId="0" borderId="0" xfId="0" applyFill="1"/>
    <xf numFmtId="1" fontId="0" fillId="0" borderId="0" xfId="0" applyNumberFormat="1"/>
    <xf numFmtId="1" fontId="0" fillId="0" borderId="0" xfId="0" applyNumberFormat="1" applyAlignment="1">
      <alignment horizontal="center"/>
    </xf>
    <xf numFmtId="2" fontId="0" fillId="0" borderId="0" xfId="0" applyNumberFormat="1"/>
    <xf numFmtId="2" fontId="0" fillId="0" borderId="0" xfId="0" applyNumberFormat="1" applyAlignment="1">
      <alignment horizontal="center"/>
    </xf>
    <xf numFmtId="0" fontId="0" fillId="0" borderId="1" xfId="0" applyFill="1" applyBorder="1" applyAlignment="1">
      <alignment vertical="center" wrapText="1"/>
    </xf>
    <xf numFmtId="2" fontId="0" fillId="0" borderId="1" xfId="0" applyNumberFormat="1" applyFont="1" applyBorder="1" applyAlignment="1">
      <alignment horizontal="right"/>
    </xf>
    <xf numFmtId="0" fontId="0" fillId="5" borderId="0" xfId="0" applyFill="1"/>
    <xf numFmtId="0" fontId="0" fillId="0" borderId="0" xfId="0" applyFill="1" applyAlignment="1">
      <alignment horizontal="center"/>
    </xf>
    <xf numFmtId="2" fontId="0" fillId="0" borderId="1" xfId="0" applyNumberFormat="1" applyBorder="1" applyAlignment="1">
      <alignment horizontal="center"/>
    </xf>
    <xf numFmtId="2" fontId="2" fillId="0" borderId="1" xfId="0" applyNumberFormat="1" applyFont="1" applyBorder="1" applyAlignment="1">
      <alignment horizontal="center"/>
    </xf>
    <xf numFmtId="3" fontId="0" fillId="0" borderId="0" xfId="0" applyNumberFormat="1" applyAlignment="1">
      <alignment horizontal="center"/>
    </xf>
    <xf numFmtId="0" fontId="0" fillId="0" borderId="0" xfId="0" applyAlignment="1">
      <alignment horizontal="centerContinuous"/>
    </xf>
    <xf numFmtId="182" fontId="0" fillId="0" borderId="0" xfId="0" applyNumberFormat="1" applyAlignment="1">
      <alignment horizontal="center"/>
    </xf>
    <xf numFmtId="0" fontId="2" fillId="0" borderId="1" xfId="0" applyFont="1" applyBorder="1" applyAlignment="1">
      <alignment horizontal="center" vertical="center"/>
    </xf>
    <xf numFmtId="0" fontId="4" fillId="6"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applyFill="1" applyBorder="1" applyAlignment="1">
      <alignment horizontal="center"/>
    </xf>
    <xf numFmtId="9" fontId="9" fillId="0" borderId="0" xfId="12" applyFont="1" applyAlignment="1">
      <alignment horizontal="center"/>
    </xf>
    <xf numFmtId="9" fontId="9" fillId="0" borderId="0" xfId="12" applyFont="1"/>
    <xf numFmtId="16" fontId="0" fillId="0" borderId="1" xfId="0" applyNumberFormat="1" applyBorder="1" applyAlignment="1">
      <alignment horizontal="center"/>
    </xf>
    <xf numFmtId="0" fontId="0" fillId="0" borderId="0" xfId="0" applyAlignment="1">
      <alignment horizontal="center" vertical="center"/>
    </xf>
    <xf numFmtId="1" fontId="0" fillId="0" borderId="0" xfId="0" applyNumberFormat="1" applyAlignment="1">
      <alignment horizontal="center" vertical="center"/>
    </xf>
    <xf numFmtId="164" fontId="0" fillId="0" borderId="0" xfId="0" applyNumberFormat="1"/>
    <xf numFmtId="184" fontId="2" fillId="0" borderId="0" xfId="2" applyNumberFormat="1" applyFont="1" applyAlignment="1">
      <alignment horizontal="center" vertical="center"/>
    </xf>
    <xf numFmtId="184" fontId="2" fillId="0" borderId="0" xfId="0" applyNumberFormat="1" applyFont="1" applyAlignment="1">
      <alignment horizontal="center" vertical="center"/>
    </xf>
    <xf numFmtId="185" fontId="0" fillId="0" borderId="1" xfId="2" applyNumberFormat="1" applyFont="1" applyBorder="1" applyAlignment="1">
      <alignment horizontal="center"/>
    </xf>
    <xf numFmtId="185" fontId="0" fillId="0" borderId="1" xfId="2" applyNumberFormat="1" applyFont="1" applyFill="1" applyBorder="1" applyAlignment="1">
      <alignment horizontal="center"/>
    </xf>
    <xf numFmtId="185" fontId="0" fillId="0" borderId="1" xfId="2" applyNumberFormat="1" applyFont="1" applyBorder="1" applyAlignment="1">
      <alignment horizontal="center" vertical="center"/>
    </xf>
    <xf numFmtId="185" fontId="0" fillId="0" borderId="1" xfId="2" applyNumberFormat="1" applyFont="1" applyFill="1" applyBorder="1" applyAlignment="1">
      <alignment horizontal="center" vertical="center"/>
    </xf>
    <xf numFmtId="0" fontId="0" fillId="0" borderId="0" xfId="0" applyBorder="1" applyAlignment="1">
      <alignment wrapText="1"/>
    </xf>
    <xf numFmtId="1" fontId="0" fillId="0" borderId="0" xfId="0" applyNumberFormat="1" applyBorder="1" applyAlignment="1">
      <alignment horizontal="center"/>
    </xf>
    <xf numFmtId="185" fontId="0" fillId="0" borderId="1" xfId="0" applyNumberFormat="1" applyBorder="1" applyAlignment="1">
      <alignment horizontal="center" vertical="center"/>
    </xf>
    <xf numFmtId="185" fontId="0" fillId="0" borderId="1" xfId="2" applyNumberFormat="1" applyFont="1" applyBorder="1" applyAlignment="1">
      <alignment horizontal="center" wrapText="1"/>
    </xf>
    <xf numFmtId="185" fontId="0" fillId="0" borderId="1" xfId="0" applyNumberFormat="1" applyBorder="1" applyAlignment="1">
      <alignment horizontal="center"/>
    </xf>
    <xf numFmtId="185" fontId="0" fillId="0" borderId="0" xfId="2" applyNumberFormat="1" applyFont="1" applyBorder="1" applyAlignment="1">
      <alignment horizontal="center"/>
    </xf>
    <xf numFmtId="185" fontId="0" fillId="0" borderId="0" xfId="0" applyNumberFormat="1" applyBorder="1" applyAlignment="1">
      <alignment horizontal="center"/>
    </xf>
    <xf numFmtId="185" fontId="2" fillId="0" borderId="0" xfId="0" applyNumberFormat="1" applyFont="1" applyAlignment="1">
      <alignment horizontal="center"/>
    </xf>
    <xf numFmtId="185" fontId="2" fillId="0" borderId="0" xfId="2" applyNumberFormat="1" applyFont="1" applyAlignment="1">
      <alignment horizontal="center"/>
    </xf>
    <xf numFmtId="185" fontId="0" fillId="0" borderId="0" xfId="0" applyNumberFormat="1" applyAlignment="1">
      <alignment horizontal="center"/>
    </xf>
    <xf numFmtId="168" fontId="4" fillId="0" borderId="1" xfId="0" applyNumberFormat="1" applyFont="1" applyFill="1" applyBorder="1" applyAlignment="1">
      <alignment horizontal="center" vertical="center" wrapText="1"/>
    </xf>
    <xf numFmtId="2" fontId="2" fillId="0" borderId="0" xfId="0" applyNumberFormat="1" applyFont="1" applyAlignment="1">
      <alignment horizontal="center"/>
    </xf>
    <xf numFmtId="169" fontId="0" fillId="0" borderId="0" xfId="0" applyNumberFormat="1" applyAlignment="1">
      <alignment horizontal="center" vertical="center"/>
    </xf>
    <xf numFmtId="185" fontId="0" fillId="6" borderId="1" xfId="2" applyNumberFormat="1" applyFont="1" applyFill="1" applyBorder="1" applyAlignment="1">
      <alignment horizontal="center" vertical="center"/>
    </xf>
    <xf numFmtId="0" fontId="2" fillId="6" borderId="0" xfId="0" applyFont="1" applyFill="1" applyBorder="1"/>
    <xf numFmtId="0" fontId="2" fillId="6" borderId="0" xfId="0" applyFont="1" applyFill="1"/>
    <xf numFmtId="185" fontId="2" fillId="6" borderId="0" xfId="0" applyNumberFormat="1" applyFont="1" applyFill="1" applyAlignment="1">
      <alignment horizontal="center"/>
    </xf>
    <xf numFmtId="185" fontId="2" fillId="6" borderId="0" xfId="2" applyNumberFormat="1" applyFont="1" applyFill="1" applyAlignment="1">
      <alignment horizontal="center"/>
    </xf>
    <xf numFmtId="186" fontId="2" fillId="0" borderId="1" xfId="2" applyNumberFormat="1" applyFont="1" applyBorder="1" applyAlignment="1">
      <alignment horizontal="center" vertical="center"/>
    </xf>
    <xf numFmtId="1" fontId="0" fillId="0" borderId="1" xfId="0" applyNumberFormat="1" applyFill="1" applyBorder="1" applyAlignment="1">
      <alignment horizontal="center"/>
    </xf>
    <xf numFmtId="0" fontId="0" fillId="0" borderId="1" xfId="0" applyFill="1" applyBorder="1" applyAlignment="1">
      <alignment wrapText="1"/>
    </xf>
    <xf numFmtId="185" fontId="2" fillId="0" borderId="1" xfId="2" applyNumberFormat="1" applyFont="1" applyBorder="1" applyAlignment="1">
      <alignment horizontal="center" vertical="center"/>
    </xf>
    <xf numFmtId="2" fontId="0" fillId="0" borderId="1" xfId="0" applyNumberFormat="1" applyFont="1" applyFill="1" applyBorder="1" applyAlignment="1">
      <alignment horizontal="center" vertical="center"/>
    </xf>
    <xf numFmtId="0" fontId="0" fillId="7" borderId="1" xfId="0" applyFill="1" applyBorder="1" applyAlignment="1">
      <alignment horizontal="center" vertical="center"/>
    </xf>
    <xf numFmtId="1" fontId="0" fillId="7" borderId="1" xfId="0" applyNumberFormat="1" applyFont="1" applyFill="1" applyBorder="1" applyAlignment="1">
      <alignment horizontal="center" vertical="center"/>
    </xf>
    <xf numFmtId="185" fontId="0" fillId="7" borderId="1" xfId="2" applyNumberFormat="1" applyFont="1" applyFill="1" applyBorder="1" applyAlignment="1">
      <alignment horizontal="center" vertical="center"/>
    </xf>
    <xf numFmtId="0" fontId="0" fillId="7" borderId="0" xfId="0" applyFill="1"/>
    <xf numFmtId="0" fontId="0" fillId="7" borderId="0" xfId="0" applyFill="1" applyAlignment="1">
      <alignment horizontal="center"/>
    </xf>
    <xf numFmtId="185" fontId="0" fillId="0" borderId="0" xfId="0" applyNumberFormat="1"/>
    <xf numFmtId="0" fontId="0" fillId="7" borderId="1" xfId="0" applyFont="1" applyFill="1" applyBorder="1" applyAlignment="1">
      <alignment horizontal="center"/>
    </xf>
    <xf numFmtId="0" fontId="0" fillId="7" borderId="1" xfId="0" applyFill="1" applyBorder="1" applyAlignment="1">
      <alignment horizontal="center"/>
    </xf>
    <xf numFmtId="1" fontId="0" fillId="7" borderId="1" xfId="0" applyNumberFormat="1" applyFill="1" applyBorder="1" applyAlignment="1">
      <alignment horizontal="center"/>
    </xf>
    <xf numFmtId="2" fontId="0" fillId="0" borderId="1" xfId="0" applyNumberFormat="1" applyFont="1" applyBorder="1" applyAlignment="1">
      <alignment horizontal="center" vertical="center"/>
    </xf>
    <xf numFmtId="0" fontId="0" fillId="0" borderId="1" xfId="0" applyFill="1" applyBorder="1" applyAlignment="1">
      <alignment horizontal="justify" wrapText="1"/>
    </xf>
    <xf numFmtId="0" fontId="0" fillId="7" borderId="1" xfId="0" applyFont="1" applyFill="1" applyBorder="1" applyAlignment="1">
      <alignment horizontal="center" vertical="center"/>
    </xf>
    <xf numFmtId="0" fontId="0" fillId="7" borderId="1" xfId="0" applyFill="1" applyBorder="1" applyAlignment="1">
      <alignment horizontal="justify" wrapText="1"/>
    </xf>
    <xf numFmtId="0" fontId="0" fillId="7" borderId="0" xfId="0" applyFill="1" applyAlignment="1">
      <alignment horizontal="center" vertical="center"/>
    </xf>
    <xf numFmtId="0" fontId="0" fillId="8" borderId="1" xfId="0" applyFont="1" applyFill="1" applyBorder="1" applyAlignment="1">
      <alignment horizontal="center"/>
    </xf>
    <xf numFmtId="0" fontId="0" fillId="8" borderId="1" xfId="0" applyFill="1" applyBorder="1" applyAlignment="1">
      <alignment horizontal="justify" wrapText="1"/>
    </xf>
    <xf numFmtId="0" fontId="0" fillId="8" borderId="1" xfId="0" applyFill="1" applyBorder="1" applyAlignment="1">
      <alignment horizontal="center"/>
    </xf>
    <xf numFmtId="185" fontId="0" fillId="8" borderId="1" xfId="2" applyNumberFormat="1" applyFont="1" applyFill="1" applyBorder="1" applyAlignment="1">
      <alignment horizontal="center" vertical="center"/>
    </xf>
    <xf numFmtId="0" fontId="0" fillId="8" borderId="0" xfId="0" applyFill="1"/>
    <xf numFmtId="0" fontId="0" fillId="8" borderId="1" xfId="0" applyFont="1" applyFill="1" applyBorder="1" applyAlignment="1">
      <alignment horizontal="center" vertical="center"/>
    </xf>
    <xf numFmtId="2" fontId="0" fillId="8" borderId="1" xfId="0" applyNumberFormat="1" applyFont="1" applyFill="1" applyBorder="1" applyAlignment="1">
      <alignment horizontal="center" vertical="center"/>
    </xf>
    <xf numFmtId="0" fontId="0" fillId="8" borderId="1" xfId="0" applyFill="1" applyBorder="1" applyAlignment="1">
      <alignment wrapText="1"/>
    </xf>
    <xf numFmtId="185" fontId="0" fillId="8" borderId="1" xfId="2" applyNumberFormat="1" applyFont="1" applyFill="1" applyBorder="1" applyAlignment="1">
      <alignment horizontal="center"/>
    </xf>
    <xf numFmtId="9" fontId="0" fillId="8" borderId="0" xfId="12" applyFont="1" applyFill="1"/>
    <xf numFmtId="2" fontId="0" fillId="8" borderId="1" xfId="0" applyNumberFormat="1" applyFont="1" applyFill="1" applyBorder="1" applyAlignment="1">
      <alignment horizontal="center"/>
    </xf>
    <xf numFmtId="1" fontId="0" fillId="7" borderId="1" xfId="0" applyNumberFormat="1" applyFill="1" applyBorder="1" applyAlignment="1">
      <alignment horizontal="center" vertical="center"/>
    </xf>
    <xf numFmtId="0" fontId="0" fillId="0" borderId="0" xfId="0" applyAlignment="1">
      <alignment vertical="center"/>
    </xf>
    <xf numFmtId="1" fontId="0" fillId="7" borderId="1" xfId="0" applyNumberFormat="1" applyFill="1" applyBorder="1" applyAlignment="1">
      <alignment horizontal="justify" wrapText="1"/>
    </xf>
    <xf numFmtId="2" fontId="0" fillId="0" borderId="0" xfId="0" applyNumberFormat="1" applyAlignment="1">
      <alignment horizontal="center" vertical="center"/>
    </xf>
    <xf numFmtId="0" fontId="0" fillId="8" borderId="1" xfId="0" applyFill="1" applyBorder="1" applyAlignment="1">
      <alignment horizontal="center" vertical="center"/>
    </xf>
    <xf numFmtId="2" fontId="0" fillId="7" borderId="1" xfId="0" applyNumberFormat="1" applyFont="1" applyFill="1" applyBorder="1" applyAlignment="1">
      <alignment horizontal="center" vertical="center"/>
    </xf>
    <xf numFmtId="2" fontId="0" fillId="8" borderId="1" xfId="0" applyNumberFormat="1" applyFill="1" applyBorder="1" applyAlignment="1">
      <alignment horizontal="center" vertical="center"/>
    </xf>
    <xf numFmtId="2" fontId="0" fillId="8" borderId="1" xfId="0" applyNumberFormat="1" applyFill="1" applyBorder="1" applyAlignment="1">
      <alignment horizontal="center"/>
    </xf>
    <xf numFmtId="2" fontId="0" fillId="7" borderId="1" xfId="0" applyNumberFormat="1" applyFill="1" applyBorder="1" applyAlignment="1">
      <alignment horizontal="center" vertical="center"/>
    </xf>
    <xf numFmtId="187" fontId="0" fillId="0" borderId="0" xfId="0" applyNumberFormat="1" applyAlignment="1">
      <alignment horizontal="center"/>
    </xf>
    <xf numFmtId="0" fontId="4" fillId="7" borderId="1" xfId="0" applyFont="1" applyFill="1" applyBorder="1" applyAlignment="1">
      <alignment horizontal="center" vertical="center" wrapText="1"/>
    </xf>
    <xf numFmtId="0" fontId="17" fillId="7" borderId="1" xfId="0" applyFont="1" applyFill="1" applyBorder="1" applyAlignment="1">
      <alignment horizontal="left" vertical="center"/>
    </xf>
    <xf numFmtId="167" fontId="4" fillId="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5"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2" fontId="4" fillId="7" borderId="1" xfId="0" applyNumberFormat="1" applyFont="1" applyFill="1" applyBorder="1"/>
    <xf numFmtId="2" fontId="4" fillId="7" borderId="1" xfId="0" applyNumberFormat="1" applyFont="1" applyFill="1" applyBorder="1" applyAlignment="1">
      <alignment horizontal="center"/>
    </xf>
    <xf numFmtId="2" fontId="4" fillId="7" borderId="1" xfId="0" applyNumberFormat="1" applyFont="1" applyFill="1" applyBorder="1" applyAlignment="1">
      <alignment horizontal="center" vertical="center"/>
    </xf>
    <xf numFmtId="167" fontId="4" fillId="7" borderId="1" xfId="0" applyNumberFormat="1" applyFont="1" applyFill="1" applyBorder="1" applyAlignment="1">
      <alignment horizontal="center"/>
    </xf>
    <xf numFmtId="0" fontId="4" fillId="7" borderId="1" xfId="0" applyFont="1" applyFill="1" applyBorder="1"/>
    <xf numFmtId="2" fontId="4" fillId="7" borderId="1" xfId="0" applyNumberFormat="1" applyFont="1" applyFill="1" applyBorder="1" applyAlignment="1">
      <alignment vertical="center"/>
    </xf>
    <xf numFmtId="1" fontId="4" fillId="7" borderId="1" xfId="0" applyNumberFormat="1" applyFont="1" applyFill="1" applyBorder="1" applyAlignment="1">
      <alignment horizontal="center"/>
    </xf>
    <xf numFmtId="168" fontId="4" fillId="7" borderId="1" xfId="0" applyNumberFormat="1" applyFont="1" applyFill="1" applyBorder="1" applyAlignment="1">
      <alignment horizontal="center"/>
    </xf>
    <xf numFmtId="2" fontId="0" fillId="7" borderId="0" xfId="0" applyNumberFormat="1" applyFill="1" applyAlignment="1">
      <alignment horizontal="center"/>
    </xf>
    <xf numFmtId="2" fontId="0" fillId="7" borderId="0" xfId="0" applyNumberFormat="1" applyFill="1" applyAlignment="1">
      <alignment horizontal="center" vertical="center"/>
    </xf>
    <xf numFmtId="167" fontId="0" fillId="0" borderId="0" xfId="0" applyNumberFormat="1" applyAlignment="1">
      <alignment horizontal="center" vertical="center"/>
    </xf>
    <xf numFmtId="168" fontId="0" fillId="0" borderId="0" xfId="0" applyNumberFormat="1" applyAlignment="1">
      <alignment horizontal="center" vertical="center"/>
    </xf>
    <xf numFmtId="0" fontId="0" fillId="0" borderId="0" xfId="0" applyNumberFormat="1" applyAlignment="1">
      <alignment horizontal="center"/>
    </xf>
    <xf numFmtId="0" fontId="0" fillId="0" borderId="0" xfId="0" applyAlignment="1">
      <alignment horizontal="left"/>
    </xf>
    <xf numFmtId="0" fontId="16" fillId="0" borderId="2" xfId="0" applyFont="1" applyFill="1" applyBorder="1" applyAlignment="1">
      <alignment vertical="center" wrapText="1"/>
    </xf>
    <xf numFmtId="1" fontId="2" fillId="0" borderId="0" xfId="0" applyNumberFormat="1" applyFont="1" applyAlignment="1">
      <alignment horizontal="center"/>
    </xf>
    <xf numFmtId="1" fontId="0" fillId="7" borderId="1" xfId="0" applyNumberFormat="1" applyFill="1" applyBorder="1" applyAlignment="1">
      <alignment horizontal="justify" vertical="center" wrapText="1"/>
    </xf>
    <xf numFmtId="186" fontId="0" fillId="7" borderId="1" xfId="2" applyNumberFormat="1" applyFont="1" applyFill="1" applyBorder="1" applyAlignment="1">
      <alignment horizontal="center" vertical="center"/>
    </xf>
    <xf numFmtId="167" fontId="0" fillId="0" borderId="0" xfId="0" applyNumberFormat="1" applyAlignment="1">
      <alignment horizontal="center"/>
    </xf>
    <xf numFmtId="9" fontId="0" fillId="0" borderId="0" xfId="12"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188" fontId="0" fillId="8" borderId="1" xfId="0" applyNumberFormat="1" applyFill="1" applyBorder="1" applyAlignment="1">
      <alignment horizontal="center"/>
    </xf>
    <xf numFmtId="0" fontId="0" fillId="0" borderId="1" xfId="0" applyFont="1" applyBorder="1" applyAlignment="1">
      <alignment horizontal="justify" wrapText="1"/>
    </xf>
    <xf numFmtId="0" fontId="2" fillId="0" borderId="1" xfId="0" applyFont="1" applyBorder="1" applyAlignment="1">
      <alignment horizontal="justify" wrapText="1"/>
    </xf>
    <xf numFmtId="0" fontId="7" fillId="7" borderId="1" xfId="3" applyFont="1" applyFill="1" applyBorder="1" applyAlignment="1">
      <alignment horizontal="justify" vertical="center" wrapText="1"/>
    </xf>
    <xf numFmtId="4" fontId="0" fillId="0" borderId="0" xfId="0" applyNumberFormat="1"/>
    <xf numFmtId="186" fontId="0" fillId="0" borderId="0" xfId="0" applyNumberFormat="1" applyAlignment="1">
      <alignment horizontal="center"/>
    </xf>
    <xf numFmtId="186" fontId="2" fillId="0" borderId="0" xfId="0" applyNumberFormat="1" applyFont="1" applyAlignment="1">
      <alignment horizontal="center"/>
    </xf>
    <xf numFmtId="9" fontId="0" fillId="0" borderId="0" xfId="0" applyNumberFormat="1" applyAlignment="1">
      <alignment horizontal="center" vertical="center"/>
    </xf>
    <xf numFmtId="186" fontId="0" fillId="0" borderId="0" xfId="0" applyNumberFormat="1"/>
    <xf numFmtId="10" fontId="0" fillId="0" borderId="0" xfId="12" applyNumberFormat="1" applyFont="1" applyAlignment="1">
      <alignment horizontal="center"/>
    </xf>
    <xf numFmtId="0" fontId="0" fillId="9" borderId="0" xfId="0" applyFill="1"/>
    <xf numFmtId="182" fontId="2" fillId="0" borderId="0" xfId="0" applyNumberFormat="1"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vertical="center"/>
    </xf>
    <xf numFmtId="2" fontId="0" fillId="0" borderId="0" xfId="0" applyNumberFormat="1" applyAlignment="1">
      <alignment horizontal="center"/>
    </xf>
    <xf numFmtId="0" fontId="0" fillId="0" borderId="0" xfId="0" applyAlignment="1">
      <alignment horizontal="center"/>
    </xf>
    <xf numFmtId="0" fontId="16" fillId="0" borderId="2" xfId="0" applyFont="1" applyFill="1" applyBorder="1" applyAlignment="1">
      <alignment horizontal="center" vertical="center" wrapText="1"/>
    </xf>
    <xf numFmtId="0" fontId="16" fillId="0" borderId="12" xfId="0" applyFont="1" applyFill="1" applyBorder="1" applyAlignment="1">
      <alignment horizontal="center" vertical="center" wrapText="1"/>
    </xf>
    <xf numFmtId="168" fontId="0" fillId="0" borderId="0" xfId="0" applyNumberFormat="1" applyAlignment="1">
      <alignment horizontal="center"/>
    </xf>
    <xf numFmtId="0" fontId="7" fillId="0" borderId="1" xfId="3" applyFont="1" applyFill="1" applyBorder="1" applyAlignment="1">
      <alignment horizontal="center" vertical="center" wrapText="1"/>
    </xf>
    <xf numFmtId="9" fontId="0" fillId="0" borderId="0" xfId="0" applyNumberFormat="1" applyFont="1" applyAlignment="1">
      <alignment horizontal="center" vertical="center"/>
    </xf>
    <xf numFmtId="185" fontId="2" fillId="0" borderId="1" xfId="2" applyNumberFormat="1" applyFont="1" applyFill="1" applyBorder="1" applyAlignment="1">
      <alignment horizontal="center"/>
    </xf>
    <xf numFmtId="2" fontId="0" fillId="0" borderId="1" xfId="0" applyNumberFormat="1" applyFill="1" applyBorder="1" applyAlignment="1">
      <alignment horizontal="center"/>
    </xf>
    <xf numFmtId="0" fontId="0" fillId="0" borderId="1" xfId="0" applyFont="1" applyFill="1" applyBorder="1" applyAlignment="1">
      <alignment horizontal="center" vertical="center"/>
    </xf>
    <xf numFmtId="1" fontId="0" fillId="0" borderId="1" xfId="0" applyNumberFormat="1" applyFill="1" applyBorder="1" applyAlignment="1">
      <alignment horizontal="justify" wrapText="1"/>
    </xf>
    <xf numFmtId="1"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0" fontId="2" fillId="0" borderId="0" xfId="0" applyFont="1" applyFill="1" applyAlignment="1">
      <alignment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xf>
    <xf numFmtId="9" fontId="0" fillId="0" borderId="0" xfId="12" applyFont="1" applyFill="1" applyAlignment="1">
      <alignment horizontal="center" vertical="center"/>
    </xf>
    <xf numFmtId="0" fontId="0" fillId="0" borderId="1" xfId="0" applyFill="1" applyBorder="1" applyAlignment="1">
      <alignment horizontal="center" vertical="center"/>
    </xf>
    <xf numFmtId="185" fontId="2" fillId="0" borderId="1" xfId="2" applyNumberFormat="1" applyFont="1" applyFill="1" applyBorder="1" applyAlignment="1">
      <alignment horizontal="center" vertical="center"/>
    </xf>
    <xf numFmtId="0" fontId="0" fillId="0" borderId="0" xfId="0" applyFill="1" applyAlignment="1">
      <alignment vertical="center"/>
    </xf>
    <xf numFmtId="0" fontId="0" fillId="0" borderId="1" xfId="0" applyFont="1" applyFill="1" applyBorder="1" applyAlignment="1">
      <alignment horizontal="justify"/>
    </xf>
    <xf numFmtId="185" fontId="1" fillId="0" borderId="1" xfId="2" applyNumberFormat="1" applyFont="1" applyFill="1" applyBorder="1" applyAlignment="1">
      <alignment horizontal="center" vertical="center"/>
    </xf>
    <xf numFmtId="0" fontId="2" fillId="0" borderId="1" xfId="0" applyFont="1" applyFill="1" applyBorder="1" applyAlignment="1">
      <alignment horizontal="justify"/>
    </xf>
    <xf numFmtId="2" fontId="2" fillId="0" borderId="1"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justify"/>
    </xf>
    <xf numFmtId="2" fontId="0" fillId="0" borderId="0" xfId="0" applyNumberFormat="1" applyFont="1" applyFill="1" applyBorder="1" applyAlignment="1">
      <alignment horizontal="center" vertical="center"/>
    </xf>
    <xf numFmtId="185" fontId="1" fillId="0" borderId="0" xfId="2" applyNumberFormat="1" applyFont="1" applyFill="1" applyBorder="1" applyAlignment="1">
      <alignment horizontal="center" vertical="center"/>
    </xf>
    <xf numFmtId="0" fontId="0" fillId="0" borderId="0" xfId="0" applyFont="1" applyFill="1" applyBorder="1" applyAlignment="1">
      <alignment vertical="center"/>
    </xf>
    <xf numFmtId="0" fontId="0" fillId="0" borderId="0" xfId="0" applyFill="1" applyBorder="1" applyAlignment="1">
      <alignment horizontal="center" vertical="center"/>
    </xf>
    <xf numFmtId="44" fontId="0" fillId="0" borderId="0" xfId="2" applyFont="1" applyFill="1" applyBorder="1" applyAlignment="1">
      <alignment vertical="center"/>
    </xf>
    <xf numFmtId="166" fontId="0" fillId="0" borderId="0" xfId="2" applyNumberFormat="1" applyFont="1" applyFill="1" applyBorder="1" applyAlignment="1">
      <alignment vertical="center"/>
    </xf>
    <xf numFmtId="0" fontId="0" fillId="0" borderId="0" xfId="0" applyFont="1" applyFill="1" applyAlignment="1">
      <alignment vertical="center"/>
    </xf>
    <xf numFmtId="184" fontId="2" fillId="0" borderId="0" xfId="2" applyNumberFormat="1" applyFont="1" applyFill="1" applyAlignment="1">
      <alignment horizontal="center" vertical="center"/>
    </xf>
    <xf numFmtId="9" fontId="0" fillId="0" borderId="0" xfId="0" applyNumberFormat="1" applyFont="1" applyFill="1" applyAlignment="1">
      <alignment horizontal="center" vertical="center"/>
    </xf>
    <xf numFmtId="0" fontId="2" fillId="0" borderId="0" xfId="0" applyFont="1" applyFill="1" applyAlignment="1">
      <alignment horizontal="center"/>
    </xf>
    <xf numFmtId="0" fontId="2" fillId="0" borderId="0" xfId="0" applyFont="1" applyFill="1"/>
    <xf numFmtId="184" fontId="2" fillId="0" borderId="0" xfId="0" applyNumberFormat="1" applyFont="1" applyFill="1" applyAlignment="1">
      <alignment horizontal="center" vertical="center"/>
    </xf>
    <xf numFmtId="0" fontId="2" fillId="0" borderId="0" xfId="0" applyFont="1" applyFill="1" applyAlignment="1">
      <alignment horizontal="center" vertical="center"/>
    </xf>
    <xf numFmtId="187" fontId="0" fillId="0" borderId="0" xfId="0" applyNumberFormat="1" applyFill="1" applyAlignment="1">
      <alignment horizontal="center"/>
    </xf>
    <xf numFmtId="1" fontId="2" fillId="0" borderId="0" xfId="0" applyNumberFormat="1" applyFont="1" applyFill="1" applyAlignment="1">
      <alignment horizontal="center"/>
    </xf>
    <xf numFmtId="43" fontId="0" fillId="0" borderId="0" xfId="1" applyFont="1" applyFill="1"/>
    <xf numFmtId="183" fontId="0" fillId="0" borderId="1" xfId="1" applyNumberFormat="1" applyFont="1" applyFill="1" applyBorder="1" applyAlignment="1">
      <alignment horizontal="center"/>
    </xf>
    <xf numFmtId="0" fontId="0" fillId="0" borderId="1" xfId="0" applyFill="1" applyBorder="1" applyAlignment="1">
      <alignment horizontal="right"/>
    </xf>
    <xf numFmtId="183" fontId="2" fillId="0" borderId="1" xfId="1" applyNumberFormat="1" applyFont="1" applyFill="1" applyBorder="1" applyAlignment="1">
      <alignment horizontal="center"/>
    </xf>
    <xf numFmtId="0" fontId="2" fillId="0" borderId="1" xfId="0" applyFont="1" applyFill="1" applyBorder="1" applyAlignment="1">
      <alignment horizontal="center"/>
    </xf>
    <xf numFmtId="186" fontId="2" fillId="0" borderId="1" xfId="2" applyNumberFormat="1" applyFont="1" applyFill="1" applyBorder="1" applyAlignment="1">
      <alignment horizontal="center" vertical="center"/>
    </xf>
    <xf numFmtId="188" fontId="0" fillId="0" borderId="1" xfId="0" applyNumberFormat="1" applyFill="1" applyBorder="1" applyAlignment="1">
      <alignment horizontal="center"/>
    </xf>
    <xf numFmtId="168" fontId="2" fillId="0" borderId="1" xfId="0" applyNumberFormat="1" applyFont="1" applyFill="1" applyBorder="1" applyAlignment="1">
      <alignment horizontal="center"/>
    </xf>
    <xf numFmtId="168" fontId="2" fillId="0" borderId="1" xfId="0" applyNumberFormat="1" applyFont="1" applyFill="1" applyBorder="1" applyAlignment="1">
      <alignment horizontal="center" vertical="center"/>
    </xf>
    <xf numFmtId="0" fontId="0" fillId="0" borderId="5" xfId="0" applyFill="1" applyBorder="1"/>
    <xf numFmtId="0" fontId="2" fillId="0" borderId="0" xfId="0" applyFont="1" applyFill="1" applyAlignment="1">
      <alignment horizontal="center" wrapText="1"/>
    </xf>
    <xf numFmtId="0" fontId="2" fillId="0" borderId="1" xfId="0" applyFont="1" applyFill="1" applyBorder="1" applyAlignment="1">
      <alignment horizontal="center"/>
    </xf>
    <xf numFmtId="168" fontId="0" fillId="0" borderId="1" xfId="0" applyNumberFormat="1" applyFont="1" applyFill="1" applyBorder="1" applyAlignment="1">
      <alignment horizontal="center" vertical="center"/>
    </xf>
    <xf numFmtId="0" fontId="25" fillId="0" borderId="4" xfId="0" applyFont="1" applyBorder="1" applyAlignment="1">
      <alignment horizontal="center" vertical="center" wrapText="1"/>
    </xf>
    <xf numFmtId="0" fontId="25" fillId="0" borderId="34" xfId="0" applyFont="1" applyBorder="1" applyAlignment="1">
      <alignment horizontal="center" vertical="center" wrapText="1"/>
    </xf>
    <xf numFmtId="0" fontId="0" fillId="0" borderId="0" xfId="0" applyAlignment="1">
      <alignment horizontal="center" vertical="center" wrapText="1"/>
    </xf>
    <xf numFmtId="0" fontId="25" fillId="0" borderId="35" xfId="0" applyFont="1" applyBorder="1"/>
    <xf numFmtId="0" fontId="25" fillId="0" borderId="36" xfId="0" applyFont="1" applyBorder="1"/>
    <xf numFmtId="0" fontId="25" fillId="0" borderId="1" xfId="0" applyFont="1" applyBorder="1" applyAlignment="1">
      <alignment horizontal="center"/>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9" fontId="25" fillId="0" borderId="1" xfId="0" applyNumberFormat="1" applyFont="1" applyBorder="1" applyAlignment="1">
      <alignment horizontal="center" vertical="center"/>
    </xf>
    <xf numFmtId="14" fontId="25" fillId="0" borderId="1" xfId="0" applyNumberFormat="1" applyFont="1" applyBorder="1" applyAlignment="1">
      <alignment horizontal="center" vertical="center"/>
    </xf>
    <xf numFmtId="186" fontId="25" fillId="0" borderId="1" xfId="0" applyNumberFormat="1" applyFont="1" applyBorder="1" applyAlignment="1">
      <alignment horizontal="center" vertical="center"/>
    </xf>
    <xf numFmtId="2" fontId="25" fillId="0" borderId="1" xfId="0" applyNumberFormat="1" applyFont="1" applyBorder="1" applyAlignment="1">
      <alignment horizontal="center" vertical="center"/>
    </xf>
    <xf numFmtId="4" fontId="25" fillId="0" borderId="1" xfId="0" applyNumberFormat="1" applyFont="1" applyBorder="1" applyAlignment="1">
      <alignment horizontal="center" vertical="center"/>
    </xf>
    <xf numFmtId="0" fontId="25" fillId="0" borderId="1" xfId="0" applyFont="1" applyBorder="1"/>
    <xf numFmtId="0" fontId="2" fillId="0" borderId="0" xfId="0" applyFont="1" applyFill="1" applyAlignment="1">
      <alignment horizontal="center"/>
    </xf>
    <xf numFmtId="0" fontId="2" fillId="0" borderId="1" xfId="0" applyFont="1" applyFill="1" applyBorder="1" applyAlignment="1">
      <alignment horizontal="center"/>
    </xf>
    <xf numFmtId="0" fontId="24" fillId="0" borderId="0" xfId="0" applyFont="1" applyAlignment="1">
      <alignment horizontal="center" wrapText="1"/>
    </xf>
    <xf numFmtId="0" fontId="0" fillId="0" borderId="0" xfId="0" applyAlignment="1">
      <alignment horizontal="left" wrapText="1"/>
    </xf>
    <xf numFmtId="0" fontId="2" fillId="0" borderId="0" xfId="0" applyFont="1" applyFill="1" applyAlignment="1">
      <alignment horizontal="center"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vertical="center" wrapText="1"/>
    </xf>
    <xf numFmtId="0" fontId="21" fillId="0" borderId="0" xfId="0" applyFont="1" applyAlignment="1">
      <alignment horizontal="center" vertical="center"/>
    </xf>
    <xf numFmtId="0" fontId="2" fillId="0" borderId="0" xfId="0" applyFont="1" applyAlignment="1">
      <alignment horizontal="center" wrapText="1"/>
    </xf>
    <xf numFmtId="0" fontId="2" fillId="0" borderId="1" xfId="0" applyFont="1" applyBorder="1" applyAlignment="1">
      <alignment horizontal="center"/>
    </xf>
    <xf numFmtId="0" fontId="2" fillId="0" borderId="0" xfId="0" applyFont="1" applyAlignment="1">
      <alignment horizontal="center"/>
    </xf>
    <xf numFmtId="0" fontId="2" fillId="0" borderId="0" xfId="0" applyFont="1" applyFill="1" applyBorder="1" applyAlignment="1">
      <alignment horizontal="center"/>
    </xf>
    <xf numFmtId="0" fontId="2" fillId="0" borderId="1" xfId="0" applyFont="1" applyFill="1" applyBorder="1" applyAlignment="1">
      <alignment horizontal="center"/>
    </xf>
    <xf numFmtId="0" fontId="13" fillId="2" borderId="11"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11" fillId="2" borderId="14" xfId="4" applyFont="1" applyFill="1" applyBorder="1" applyAlignment="1">
      <alignment horizontal="left"/>
    </xf>
    <xf numFmtId="0" fontId="11" fillId="2" borderId="29" xfId="4" applyFont="1" applyFill="1" applyBorder="1" applyAlignment="1">
      <alignment horizontal="left"/>
    </xf>
    <xf numFmtId="0" fontId="6" fillId="2" borderId="2" xfId="4" applyFont="1" applyFill="1" applyBorder="1" applyAlignment="1">
      <alignment horizontal="justify" vertical="justify" wrapText="1"/>
    </xf>
    <xf numFmtId="0" fontId="6" fillId="2" borderId="12" xfId="4" applyFont="1" applyFill="1" applyBorder="1" applyAlignment="1">
      <alignment horizontal="justify" vertical="justify" wrapText="1"/>
    </xf>
    <xf numFmtId="0" fontId="6" fillId="2" borderId="13" xfId="4" applyFont="1" applyFill="1" applyBorder="1" applyAlignment="1">
      <alignment horizontal="justify" vertical="justify" wrapText="1"/>
    </xf>
    <xf numFmtId="171" fontId="10" fillId="2" borderId="2" xfId="5" applyNumberFormat="1" applyFont="1" applyFill="1" applyBorder="1" applyAlignment="1">
      <alignment horizontal="center"/>
    </xf>
    <xf numFmtId="171" fontId="10" fillId="2" borderId="3" xfId="5" applyNumberFormat="1" applyFont="1" applyFill="1" applyBorder="1" applyAlignment="1">
      <alignment horizontal="center"/>
    </xf>
    <xf numFmtId="0" fontId="11" fillId="2" borderId="12" xfId="4" applyFont="1" applyFill="1" applyBorder="1" applyAlignment="1">
      <alignment horizontal="right"/>
    </xf>
    <xf numFmtId="0" fontId="11" fillId="2" borderId="3" xfId="4" applyFont="1" applyFill="1" applyBorder="1" applyAlignment="1">
      <alignment horizontal="right"/>
    </xf>
    <xf numFmtId="0" fontId="6" fillId="2" borderId="2" xfId="4" applyFont="1" applyFill="1" applyBorder="1" applyAlignment="1">
      <alignment horizontal="justify" vertical="justify"/>
    </xf>
    <xf numFmtId="0" fontId="6" fillId="2" borderId="12" xfId="4" applyFont="1" applyFill="1" applyBorder="1" applyAlignment="1">
      <alignment horizontal="justify" vertical="justify"/>
    </xf>
    <xf numFmtId="0" fontId="6" fillId="2" borderId="13" xfId="4" applyFont="1" applyFill="1" applyBorder="1" applyAlignment="1">
      <alignment horizontal="justify" vertical="justify"/>
    </xf>
    <xf numFmtId="0" fontId="13" fillId="2" borderId="22" xfId="4" applyFont="1" applyFill="1" applyBorder="1" applyAlignment="1">
      <alignment horizontal="left" vertical="center" wrapText="1"/>
    </xf>
    <xf numFmtId="0" fontId="13" fillId="2" borderId="12" xfId="4" applyFont="1" applyFill="1" applyBorder="1" applyAlignment="1">
      <alignment horizontal="left" vertical="center" wrapText="1"/>
    </xf>
    <xf numFmtId="0" fontId="13" fillId="2" borderId="3" xfId="4" applyFont="1" applyFill="1" applyBorder="1" applyAlignment="1">
      <alignment horizontal="left" vertical="center" wrapText="1"/>
    </xf>
    <xf numFmtId="0" fontId="11" fillId="2" borderId="31" xfId="4" applyFont="1" applyFill="1" applyBorder="1" applyAlignment="1">
      <alignment horizontal="left"/>
    </xf>
    <xf numFmtId="0" fontId="11" fillId="2" borderId="16" xfId="4" applyFont="1" applyFill="1" applyBorder="1" applyAlignment="1">
      <alignment horizontal="left"/>
    </xf>
    <xf numFmtId="0" fontId="11" fillId="2" borderId="32" xfId="4" applyFont="1" applyFill="1" applyBorder="1" applyAlignment="1">
      <alignment horizontal="left"/>
    </xf>
    <xf numFmtId="0" fontId="2" fillId="0" borderId="2" xfId="0" applyFont="1" applyBorder="1" applyAlignment="1">
      <alignment horizontal="center" wrapText="1"/>
    </xf>
    <xf numFmtId="0" fontId="2" fillId="0" borderId="12" xfId="0" applyFont="1" applyBorder="1" applyAlignment="1">
      <alignment horizontal="center" wrapText="1"/>
    </xf>
    <xf numFmtId="0" fontId="2" fillId="0" borderId="3" xfId="0" applyFont="1" applyBorder="1" applyAlignment="1">
      <alignment horizontal="center" wrapText="1"/>
    </xf>
    <xf numFmtId="0" fontId="2" fillId="0" borderId="33"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xf>
    <xf numFmtId="2" fontId="0" fillId="0" borderId="0" xfId="0" applyNumberFormat="1" applyAlignment="1">
      <alignment horizontal="center"/>
    </xf>
    <xf numFmtId="0" fontId="0" fillId="0" borderId="0" xfId="0" applyAlignment="1">
      <alignment horizontal="center"/>
    </xf>
    <xf numFmtId="168" fontId="0" fillId="0" borderId="0" xfId="0" applyNumberFormat="1" applyAlignment="1">
      <alignment horizontal="center"/>
    </xf>
    <xf numFmtId="0" fontId="7" fillId="0" borderId="1" xfId="3" applyFont="1" applyFill="1" applyBorder="1" applyAlignment="1">
      <alignment horizontal="center" vertical="center" wrapText="1"/>
    </xf>
    <xf numFmtId="185" fontId="0" fillId="0" borderId="0" xfId="0" applyNumberFormat="1" applyFill="1"/>
    <xf numFmtId="182" fontId="0" fillId="0" borderId="0" xfId="0" applyNumberFormat="1" applyFill="1" applyAlignment="1">
      <alignment horizontal="center"/>
    </xf>
    <xf numFmtId="0" fontId="0" fillId="0" borderId="0" xfId="0" applyFill="1" applyAlignment="1">
      <alignment horizontal="center" vertical="center"/>
    </xf>
    <xf numFmtId="9" fontId="0" fillId="0" borderId="0" xfId="12" applyFont="1" applyFill="1"/>
    <xf numFmtId="182" fontId="2" fillId="0" borderId="0" xfId="0" applyNumberFormat="1" applyFont="1" applyFill="1" applyAlignment="1">
      <alignment horizontal="center" vertical="center"/>
    </xf>
  </cellXfs>
  <cellStyles count="26">
    <cellStyle name="Comma 2" xfId="5"/>
    <cellStyle name="Euro" xfId="8"/>
    <cellStyle name="Hipervínculo 2" xfId="24"/>
    <cellStyle name="Millares" xfId="1" builtinId="3"/>
    <cellStyle name="Millares [0] 2" xfId="15"/>
    <cellStyle name="Millares 10" xfId="22"/>
    <cellStyle name="Millares 11" xfId="25"/>
    <cellStyle name="Millares 2" xfId="6"/>
    <cellStyle name="Millares 3" xfId="14"/>
    <cellStyle name="Millares 4" xfId="17"/>
    <cellStyle name="Millares 5" xfId="20"/>
    <cellStyle name="Millares 6" xfId="18"/>
    <cellStyle name="Millares 7" xfId="19"/>
    <cellStyle name="Millares 8" xfId="16"/>
    <cellStyle name="Millares 9" xfId="21"/>
    <cellStyle name="Moneda" xfId="2" builtinId="4"/>
    <cellStyle name="Normal" xfId="0" builtinId="0"/>
    <cellStyle name="Normal 2" xfId="7"/>
    <cellStyle name="Normal 2 2" xfId="4"/>
    <cellStyle name="Normal 2 4" xfId="9"/>
    <cellStyle name="Normal 3" xfId="13"/>
    <cellStyle name="Normal 4" xfId="23"/>
    <cellStyle name="Normal_listaprecios 2 AAA   2006" xfId="3"/>
    <cellStyle name="Porcentaje" xfId="12" builtinId="5"/>
    <cellStyle name="Porcentaje 2" xfId="10"/>
    <cellStyle name="Porcentual 2 2" xfId="11"/>
  </cellStyles>
  <dxfs count="18">
    <dxf>
      <alignment vertical="center"/>
    </dxf>
    <dxf>
      <alignment horizontal="center"/>
    </dxf>
    <dxf>
      <numFmt numFmtId="2" formatCode="0.00"/>
    </dxf>
    <dxf>
      <numFmt numFmtId="2" formatCode="0.00"/>
    </dxf>
    <dxf>
      <alignment vertical="center"/>
    </dxf>
    <dxf>
      <alignment vertical="center"/>
    </dxf>
    <dxf>
      <alignment horizontal="center"/>
    </dxf>
    <dxf>
      <alignment horizontal="center"/>
    </dxf>
    <dxf>
      <alignment vertical="center"/>
    </dxf>
    <dxf>
      <alignment horizontal="center"/>
    </dxf>
    <dxf>
      <numFmt numFmtId="2" formatCode="0.00"/>
    </dxf>
    <dxf>
      <alignment horizontal="center"/>
    </dxf>
    <dxf>
      <alignment horizontal="center"/>
    </dxf>
    <dxf>
      <numFmt numFmtId="2" formatCode="0.00"/>
    </dxf>
    <dxf>
      <alignment horizontal="center"/>
    </dxf>
    <dxf>
      <alignment vertical="center"/>
    </dxf>
    <dxf>
      <alignment horizontal="center"/>
    </dxf>
    <dxf>
      <alignment horizontal="center"/>
    </dxf>
  </dxfs>
  <tableStyles count="0" defaultTableStyle="TableStyleMedium2" defaultPivotStyle="PivotStyleLight16"/>
  <colors>
    <mruColors>
      <color rgb="FF00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externalLink" Target="externalLinks/externalLink32.xml"/><Relationship Id="rId50" Type="http://schemas.openxmlformats.org/officeDocument/2006/relationships/externalLink" Target="externalLinks/externalLink35.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externalLink" Target="externalLinks/externalLink30.xml"/><Relationship Id="rId53"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externalLink" Target="externalLinks/externalLink34.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52"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externalLink" Target="externalLinks/externalLink33.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6.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11</xdr:col>
      <xdr:colOff>616324</xdr:colOff>
      <xdr:row>24</xdr:row>
      <xdr:rowOff>22411</xdr:rowOff>
    </xdr:from>
    <xdr:to>
      <xdr:col>13</xdr:col>
      <xdr:colOff>598955</xdr:colOff>
      <xdr:row>34</xdr:row>
      <xdr:rowOff>53707</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9949" y="8204386"/>
          <a:ext cx="2659156" cy="222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299355</xdr:colOff>
      <xdr:row>0</xdr:row>
      <xdr:rowOff>149676</xdr:rowOff>
    </xdr:from>
    <xdr:to>
      <xdr:col>10</xdr:col>
      <xdr:colOff>908896</xdr:colOff>
      <xdr:row>7</xdr:row>
      <xdr:rowOff>112176</xdr:rowOff>
    </xdr:to>
    <xdr:grpSp>
      <xdr:nvGrpSpPr>
        <xdr:cNvPr id="3" name="2 Grupo"/>
        <xdr:cNvGrpSpPr>
          <a:grpSpLocks noChangeAspect="1"/>
        </xdr:cNvGrpSpPr>
      </xdr:nvGrpSpPr>
      <xdr:grpSpPr>
        <a:xfrm>
          <a:off x="4327069" y="149676"/>
          <a:ext cx="8801041" cy="1296000"/>
          <a:chOff x="0" y="0"/>
          <a:chExt cx="6251575" cy="933449"/>
        </a:xfrm>
      </xdr:grpSpPr>
      <xdr:pic>
        <xdr:nvPicPr>
          <xdr:cNvPr id="4" name="3 Imagen" descr="C:\Users\EMSERCOTAWEB\Downloads\LOGO EL CAMBI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5" y="57150"/>
            <a:ext cx="2381250" cy="854710"/>
          </a:xfrm>
          <a:prstGeom prst="rect">
            <a:avLst/>
          </a:prstGeom>
          <a:noFill/>
          <a:ln>
            <a:noFill/>
          </a:ln>
        </xdr:spPr>
      </xdr:pic>
      <xdr:pic>
        <xdr:nvPicPr>
          <xdr:cNvPr id="5" name="4 Imagen" descr="C:\Users\EMSERCOTAWEB\Pictures\LOGO NIT.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562225" cy="883920"/>
          </a:xfrm>
          <a:prstGeom prst="rect">
            <a:avLst/>
          </a:prstGeom>
          <a:noFill/>
          <a:ln>
            <a:noFill/>
          </a:ln>
        </xdr:spPr>
      </xdr:pic>
      <xdr:pic>
        <xdr:nvPicPr>
          <xdr:cNvPr id="6" name="5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38800" y="19050"/>
            <a:ext cx="612775" cy="914399"/>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616324</xdr:colOff>
      <xdr:row>24</xdr:row>
      <xdr:rowOff>22411</xdr:rowOff>
    </xdr:from>
    <xdr:to>
      <xdr:col>13</xdr:col>
      <xdr:colOff>598955</xdr:colOff>
      <xdr:row>34</xdr:row>
      <xdr:rowOff>53707</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9949" y="8204386"/>
          <a:ext cx="2659156" cy="2222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299355</xdr:colOff>
      <xdr:row>0</xdr:row>
      <xdr:rowOff>149676</xdr:rowOff>
    </xdr:from>
    <xdr:to>
      <xdr:col>10</xdr:col>
      <xdr:colOff>908896</xdr:colOff>
      <xdr:row>7</xdr:row>
      <xdr:rowOff>112176</xdr:rowOff>
    </xdr:to>
    <xdr:grpSp>
      <xdr:nvGrpSpPr>
        <xdr:cNvPr id="3" name="2 Grupo"/>
        <xdr:cNvGrpSpPr>
          <a:grpSpLocks noChangeAspect="1"/>
        </xdr:cNvGrpSpPr>
      </xdr:nvGrpSpPr>
      <xdr:grpSpPr>
        <a:xfrm>
          <a:off x="4334491" y="149676"/>
          <a:ext cx="8801041" cy="1296000"/>
          <a:chOff x="0" y="0"/>
          <a:chExt cx="6251575" cy="933449"/>
        </a:xfrm>
      </xdr:grpSpPr>
      <xdr:pic>
        <xdr:nvPicPr>
          <xdr:cNvPr id="4" name="3 Imagen" descr="C:\Users\EMSERCOTAWEB\Downloads\LOGO EL CAMBI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28925" y="57150"/>
            <a:ext cx="2381250" cy="854710"/>
          </a:xfrm>
          <a:prstGeom prst="rect">
            <a:avLst/>
          </a:prstGeom>
          <a:noFill/>
          <a:ln>
            <a:noFill/>
          </a:ln>
        </xdr:spPr>
      </xdr:pic>
      <xdr:pic>
        <xdr:nvPicPr>
          <xdr:cNvPr id="5" name="4 Imagen" descr="C:\Users\EMSERCOTAWEB\Pictures\LOGO NIT.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2562225" cy="883920"/>
          </a:xfrm>
          <a:prstGeom prst="rect">
            <a:avLst/>
          </a:prstGeom>
          <a:noFill/>
          <a:ln>
            <a:noFill/>
          </a:ln>
        </xdr:spPr>
      </xdr:pic>
      <xdr:pic>
        <xdr:nvPicPr>
          <xdr:cNvPr id="6" name="5 Imagen"/>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38800" y="19050"/>
            <a:ext cx="612775" cy="914399"/>
          </a:xfrm>
          <a:prstGeom prst="rect">
            <a:avLst/>
          </a:prstGeom>
          <a:noFill/>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361950</xdr:colOff>
      <xdr:row>0</xdr:row>
      <xdr:rowOff>0</xdr:rowOff>
    </xdr:from>
    <xdr:to>
      <xdr:col>3</xdr:col>
      <xdr:colOff>1295341</xdr:colOff>
      <xdr:row>3</xdr:row>
      <xdr:rowOff>36954</xdr:rowOff>
    </xdr:to>
    <xdr:grpSp>
      <xdr:nvGrpSpPr>
        <xdr:cNvPr id="3" name="2 Grupo"/>
        <xdr:cNvGrpSpPr>
          <a:grpSpLocks noChangeAspect="1"/>
        </xdr:cNvGrpSpPr>
      </xdr:nvGrpSpPr>
      <xdr:grpSpPr>
        <a:xfrm>
          <a:off x="1133475" y="0"/>
          <a:ext cx="5619691" cy="827529"/>
          <a:chOff x="0" y="0"/>
          <a:chExt cx="6251575" cy="933449"/>
        </a:xfrm>
      </xdr:grpSpPr>
      <xdr:pic>
        <xdr:nvPicPr>
          <xdr:cNvPr id="4" name="3 Imagen" descr="C:\Users\EMSERCOTAWEB\Downloads\LOGO EL CAMBI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28925" y="57150"/>
            <a:ext cx="2381250" cy="854710"/>
          </a:xfrm>
          <a:prstGeom prst="rect">
            <a:avLst/>
          </a:prstGeom>
          <a:noFill/>
          <a:ln>
            <a:noFill/>
          </a:ln>
        </xdr:spPr>
      </xdr:pic>
      <xdr:pic>
        <xdr:nvPicPr>
          <xdr:cNvPr id="5" name="4 Imagen" descr="C:\Users\EMSERCOTAWEB\Pictures\LOGO NIT.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562225" cy="883920"/>
          </a:xfrm>
          <a:prstGeom prst="rect">
            <a:avLst/>
          </a:prstGeom>
          <a:noFill/>
          <a:ln>
            <a:noFill/>
          </a:ln>
        </xdr:spPr>
      </xdr:pic>
      <xdr:pic>
        <xdr:nvPicPr>
          <xdr:cNvPr id="6" name="5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38800" y="19050"/>
            <a:ext cx="612775" cy="914399"/>
          </a:xfrm>
          <a:prstGeom prst="rect">
            <a:avLst/>
          </a:prstGeom>
          <a:noFill/>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13</xdr:row>
      <xdr:rowOff>0</xdr:rowOff>
    </xdr:from>
    <xdr:to>
      <xdr:col>16</xdr:col>
      <xdr:colOff>561975</xdr:colOff>
      <xdr:row>40</xdr:row>
      <xdr:rowOff>9525</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4625" y="3057525"/>
          <a:ext cx="5895975" cy="458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19049</xdr:colOff>
      <xdr:row>43</xdr:row>
      <xdr:rowOff>47625</xdr:rowOff>
    </xdr:from>
    <xdr:to>
      <xdr:col>16</xdr:col>
      <xdr:colOff>590549</xdr:colOff>
      <xdr:row>67</xdr:row>
      <xdr:rowOff>62414</xdr:rowOff>
    </xdr:to>
    <xdr:pic>
      <xdr:nvPicPr>
        <xdr:cNvPr id="3" name="Imagen 2">
          <a:extLst>
            <a:ext uri="{FF2B5EF4-FFF2-40B4-BE49-F238E27FC236}">
              <a16:creationId xmlns:a16="http://schemas.microsoft.com/office/drawing/2014/main" id="{A1214964-04FF-4541-9EBE-3E0706830B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77524" y="7496175"/>
          <a:ext cx="6105525" cy="4358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38100</xdr:colOff>
      <xdr:row>69</xdr:row>
      <xdr:rowOff>0</xdr:rowOff>
    </xdr:from>
    <xdr:to>
      <xdr:col>16</xdr:col>
      <xdr:colOff>561975</xdr:colOff>
      <xdr:row>92</xdr:row>
      <xdr:rowOff>174524</xdr:rowOff>
    </xdr:to>
    <xdr:pic>
      <xdr:nvPicPr>
        <xdr:cNvPr id="4" name="Imagen 3">
          <a:extLst>
            <a:ext uri="{FF2B5EF4-FFF2-40B4-BE49-F238E27FC236}">
              <a16:creationId xmlns:a16="http://schemas.microsoft.com/office/drawing/2014/main" id="{14D17A02-59DD-45BE-B542-9411F6EC3A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96575" y="12296775"/>
          <a:ext cx="6057900" cy="4336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133350</xdr:colOff>
      <xdr:row>321</xdr:row>
      <xdr:rowOff>161925</xdr:rowOff>
    </xdr:from>
    <xdr:to>
      <xdr:col>33</xdr:col>
      <xdr:colOff>321945</xdr:colOff>
      <xdr:row>344</xdr:row>
      <xdr:rowOff>102870</xdr:rowOff>
    </xdr:to>
    <xdr:pic>
      <xdr:nvPicPr>
        <xdr:cNvPr id="2" name="Imagen 1">
          <a:extLst>
            <a:ext uri="{FF2B5EF4-FFF2-40B4-BE49-F238E27FC236}">
              <a16:creationId xmlns:a16="http://schemas.microsoft.com/office/drawing/2014/main" id="{00FF526D-C6DC-4C0E-A685-FB58AC03E8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6210" y="4444365"/>
          <a:ext cx="9965055" cy="4147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ADM%20VIAL%2003%20-%20CORDOBA\ESTADO%20DE%20RED\2103mar%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MV-02-BOL\EST.V&#205;A%20CRIT.TECNICO%20AMB-BOL-02\DICIEMBRE-2008\EST.V&#205;A%20CRITERIO%20TECNICO%2090BL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EST.V&#205;A%20CRITERIO%20TECNIC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ecnico-95\tnm_tec95_proy-2015\05%20sol\20091005%20CANTIDADES%20DRENAJE%20RUTA%20DEL%20SOL\SECTOR%202\ST%202%20-%20MEJORAMIENTO\Cantidades%20de%20Obra%20Sector%202%20TR01%20Pto.%20Salgar%20-%20Ca&#241;o%20Alegr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ecnico-95\tnm_tec95_proy-2015\07%20tcn\ALEJANDRO%20SARMIENTO\Ruta%20del%20Sol\Cantidades%20de%20Obra\v%202.0\SECTOR%203\ST03%20-%20DUPLICACI&#211;N\Cantidades%20de%20Obra%20Sector%203%20TR02%20La%20Loma%20-%20Bosconia_C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ecnico-95\tnm_tec95_proy-2015\05%20sol\20091005%20CANTIDADES%20DRENAJE%20RUTA%20DEL%20SOL\SECTOR%202\ST%202%20-%20MEJORAMIENTO\Cantidades%20de%20Obra%20Sector%202%20TR01%20Pto.%20Salgar%20-%20Ca&#241;o%20Alegre_C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CONGETEC\Cota\Interconexion%20EAAB%20-%20Cota\Dise&#241;o%20Gevial\Estudio%20Estructuras%20Final\&#205;tems%20y%20Cantidades%20Estructur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CONGETEC\Tocancipa\v3%20170802\Dise&#241;o%20Eje%20No%202\Presupuesto\LISTA%20DE%20PRECIOS%20ICCU%202017%20(1).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CONGETEC\Cota\LISTA%20DE%20PRECIOS%20ICCU%202019.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ONGETEC\Tocancipa\Precios%202018\Precios_Unitarios_de_Referencia_2018_I_(Junio_2018)%20(1).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ONGETEC\Tocancipa\Precios%202018\LISTA%20DE%20PRECIOS%20ICCU%202018%20BAS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ONGETEC\Tocancipa\v3%20170802\Dise&#241;o%20Eje%20No%202\Presupuesto\0007.%20Precios%20Unitarios%20de%20Referencia%202017%20-%20II%20Semestre%20(26.12.17).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ONGETEC\Cota\Precios_Unitarios_de_Referencia_2018_II_Mano%20de%20Obra%202019%20_%2022%20Enero%202019%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ONGETEC\Cota\Amarilo\Dise&#241;os\Enero%2025%20de%202019\Cantidades%20preliminares%20anclajes%20Ponteverdi.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ONGETEC\Ch&#237;a%20-%20proyecto%20vial\Dise&#241;o\Definitivo\DISE&#209;O%20CHIA\DISE&#209;OS\Alcantarillado%20Pluvial\Presupuesto_lluvias%20Tramo%201%20Ch&#237;a%20Septiembre%206%20de%2020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ONGETEC\Cota\Amarilo\Dise&#241;os\Enero%2025%20de%202019\2.190125_PPTO%20PV_CAMBIOS%20PRECIOS_EA.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ONGETEC\Ch&#237;a%20-%20proyecto%20vial\Dise&#241;o\Definitivo\DISE&#209;O%20CHIA\DISE&#209;OS\Alcantarillado%20Residual\Presupuesto_residual%20Tramo%201%20Chia%20Septiembre%207%20de%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ONGETEC\Ch&#237;a%20-%20proyecto%20vial\Dise&#241;o\Definitivo\DISE&#209;O%20CHIA\DISE&#209;OS\Alcantarillado%20Residual\Presupuesto_residual%20Tramo%202%20Chia%20Septiembre%2010%20de%202018.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CONGETEC\Ginprosa\DESCARGABLE%20IDU%20038\15.%20PRESUPUESTO\ANEXO%20D%20-%20APUS%20Y%20PRESUPUESTO\1.%20Presupuesto\20180924_Presupuesto%20(ajuste%20limites)V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CONGETEC\Cota\Interconexion%20EAAB%20-%20Cota\Presupuesto%20Obra%20Civil\Listado%20de%20Acc_EBAP%20EmserCota%20(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TOSHIBA/Downloads/Listado%20de%20Acc_EBAP%20EmserCota%20(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CONGETEC\Ch&#237;a%20-%20proyecto%20vial\Dise&#241;o\Definitivo\DISE&#209;O%20CHIA\DISE&#209;OS\Alcantarillado%20Pluvial\Presupuesto_lluvias%20Tramo%207%20Ch&#237;a%20Septiembre%206%20de%202018.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CONGETEC\Tocancipa\v3%20170802\Dise&#241;o%20Eje%20No%202\Presupuesto\Eje%20%20Tocancipa-EAAB%20Lluvias%20Final%20Diciembre%207%20de%20201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CONGETEC\Tocancipa\v3%20170802\Dise&#241;o%20Eje%20No%202\Presupuesto\Eje%20%20Tocancipa-EAAB%20Lluvias%20Final%20Diciembre%2010%20de%202017%20(tramo%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20%20aaInformaci&#243;n%20GRUPO%204\A%20MInformes%20Mensuales\Informe%20de%20estado%20vial%20ene\aCCIDENTES%20DE%201995%20-%20199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Documents%20and%20Settings\mromero\Configuraci&#243;n%20local\Archivos%20temporales%20de%20Internet\OLK77\20-02-09%20observaciones%20de%20mario%20romero\enviado%20por%20la%20territorial\Documents%20and%20Settings\Jaime%20Rojas\Mis%20documentos\Contrato\Interv\JunBarba\a%20%20aaInformaci&#243;n%20GRUPO"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ropuestas%20Tico\Zona%20Bananera\Propuesta\PROPUESTA%20ZONA%20BANANERA%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s>
    <sheetDataSet>
      <sheetData sheetId="0"/>
      <sheetData sheetId="1"/>
      <sheetData sheetId="2" refreshError="1">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efreshError="1">
        <row r="2">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s>
    <sheetDataSet>
      <sheetData sheetId="0">
        <row r="52">
          <cell r="H52">
            <v>46548</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Conteo Cunetas"/>
      <sheetName val="PRESUPUESTO TR01 C1"/>
      <sheetName val="Pto. Salgar - Caño Alegre C1"/>
      <sheetName val="Tabla resumen C1"/>
      <sheetName val="Cantidades"/>
      <sheetName val="CUNETA TIPO III"/>
      <sheetName val="FILTROS"/>
      <sheetName val="POCETA 0.9"/>
      <sheetName val="POCETA DOBLE"/>
      <sheetName val=" Alcantarilla 0.9 m"/>
      <sheetName val="aletas 0.9"/>
      <sheetName val="BOX"/>
      <sheetName val="Aletas box"/>
      <sheetName val="Protección"/>
      <sheetName val="Canal Tipo0.90"/>
      <sheetName val="Canal Tipo2x2"/>
      <sheetName val="Hoja1"/>
    </sheetNames>
    <sheetDataSet>
      <sheetData sheetId="0">
        <row r="24">
          <cell r="T24">
            <v>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Conteo Cunetas"/>
      <sheetName val="PRESUPUESTO TR02 C2"/>
      <sheetName val="La Loma - Bosconia C2"/>
      <sheetName val="Tabla resumen C2"/>
      <sheetName val="Cantidades"/>
      <sheetName val="CUNETA TIPO III"/>
      <sheetName val="FILTROS"/>
      <sheetName val="POCETA 0.9"/>
      <sheetName val="POCETA DOBLE"/>
      <sheetName val=" Alcantarilla 0.9 m"/>
      <sheetName val="aletas 0.9"/>
      <sheetName val="BOX"/>
      <sheetName val="Aletas box"/>
      <sheetName val="Protección"/>
      <sheetName val="Canal Tipo0.90"/>
      <sheetName val="Canal Tipo2x2"/>
    </sheetNames>
    <sheetDataSet>
      <sheetData sheetId="0">
        <row r="17">
          <cell r="R17">
            <v>29</v>
          </cell>
          <cell r="S17">
            <v>7</v>
          </cell>
        </row>
        <row r="23">
          <cell r="AH23">
            <v>23</v>
          </cell>
          <cell r="AI23">
            <v>1</v>
          </cell>
        </row>
      </sheetData>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Conteo Cunetas"/>
      <sheetName val="PRESUPUESTO TR01 C1"/>
      <sheetName val="Pto. Salgar - Caño Alegre C1"/>
      <sheetName val="Tabla resumen C1"/>
      <sheetName val="Cantidades"/>
      <sheetName val="CUNETA TIPO III"/>
      <sheetName val="FILTROS"/>
      <sheetName val="POCETA 0.9"/>
      <sheetName val="POCETA DOBLE"/>
      <sheetName val=" Alcantarilla 0.9 m"/>
      <sheetName val="aletas 0.9"/>
      <sheetName val="BOX"/>
      <sheetName val="Aletas box"/>
      <sheetName val="Protección"/>
      <sheetName val="Canal Tipo0.90"/>
      <sheetName val="Canal Tipo2x2"/>
      <sheetName val="Hoja1"/>
    </sheetNames>
    <sheetDataSet>
      <sheetData sheetId="0">
        <row r="24">
          <cell r="R24">
            <v>28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s>
    <sheetDataSet>
      <sheetData sheetId="0" refreshError="1">
        <row r="48">
          <cell r="E48">
            <v>6</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ámara"/>
      <sheetName val="Tanque"/>
      <sheetName val="Estación"/>
    </sheetNames>
    <sheetDataSet>
      <sheetData sheetId="0">
        <row r="5">
          <cell r="E5">
            <v>586</v>
          </cell>
        </row>
        <row r="8">
          <cell r="C8" t="str">
            <v>m3</v>
          </cell>
        </row>
        <row r="9">
          <cell r="C9" t="str">
            <v>kg</v>
          </cell>
        </row>
        <row r="10">
          <cell r="C10" t="str">
            <v>m3</v>
          </cell>
        </row>
        <row r="11">
          <cell r="C11" t="str">
            <v>m3</v>
          </cell>
        </row>
      </sheetData>
      <sheetData sheetId="1">
        <row r="4">
          <cell r="A4" t="str">
            <v>Código IDU</v>
          </cell>
        </row>
        <row r="5">
          <cell r="A5">
            <v>3007</v>
          </cell>
          <cell r="C5" t="str">
            <v>m2</v>
          </cell>
        </row>
        <row r="6">
          <cell r="A6">
            <v>3464</v>
          </cell>
          <cell r="C6" t="str">
            <v>m3</v>
          </cell>
        </row>
        <row r="7">
          <cell r="A7">
            <v>3017</v>
          </cell>
          <cell r="C7" t="str">
            <v>m3</v>
          </cell>
        </row>
        <row r="8">
          <cell r="A8">
            <v>4838</v>
          </cell>
          <cell r="C8" t="str">
            <v>m3</v>
          </cell>
        </row>
        <row r="9">
          <cell r="A9">
            <v>4010</v>
          </cell>
          <cell r="C9" t="str">
            <v>m2</v>
          </cell>
        </row>
        <row r="10">
          <cell r="A10">
            <v>3729</v>
          </cell>
          <cell r="C10" t="str">
            <v>m3</v>
          </cell>
        </row>
        <row r="11">
          <cell r="A11">
            <v>3708</v>
          </cell>
          <cell r="C11" t="str">
            <v>kg</v>
          </cell>
        </row>
        <row r="12">
          <cell r="A12">
            <v>6766</v>
          </cell>
          <cell r="C12" t="str">
            <v>m3</v>
          </cell>
        </row>
        <row r="13">
          <cell r="A13">
            <v>7680</v>
          </cell>
          <cell r="C13" t="str">
            <v>m3</v>
          </cell>
        </row>
        <row r="14">
          <cell r="A14">
            <v>5072</v>
          </cell>
          <cell r="C14" t="str">
            <v>m3</v>
          </cell>
        </row>
        <row r="15">
          <cell r="A15">
            <v>3050</v>
          </cell>
          <cell r="C15" t="str">
            <v>m3</v>
          </cell>
        </row>
      </sheetData>
      <sheetData sheetId="2">
        <row r="5">
          <cell r="A5">
            <v>3007</v>
          </cell>
          <cell r="B5" t="str">
            <v>Replanteo general</v>
          </cell>
          <cell r="C5" t="str">
            <v>m2</v>
          </cell>
        </row>
        <row r="6">
          <cell r="A6">
            <v>3464</v>
          </cell>
          <cell r="B6" t="str">
            <v>Excavación manual en material común (Incluye cargue)</v>
          </cell>
          <cell r="C6" t="str">
            <v>m3</v>
          </cell>
        </row>
        <row r="7">
          <cell r="A7">
            <v>3017</v>
          </cell>
          <cell r="B7" t="str">
            <v>Transporte y disposición final de escombros en sitio autorizado (Distancia de transporte 21 km). a distancia mayor del acarreo libre (90 m) en sitio autorizado por la entidad ambiental competente</v>
          </cell>
          <cell r="C7" t="str">
            <v>m3</v>
          </cell>
        </row>
        <row r="8">
          <cell r="A8">
            <v>4838</v>
          </cell>
          <cell r="B8" t="str">
            <v>Relleno con grava entre 3/4" y 1/2" para filtros (relación 1:1) suministro y colocación. (Incluye transporte, suministro, extendido manual y colocación)</v>
          </cell>
          <cell r="C8" t="str">
            <v>m3</v>
          </cell>
        </row>
        <row r="9">
          <cell r="A9">
            <v>4010</v>
          </cell>
          <cell r="B9" t="str">
            <v>Geotextil nt 4000 para subdrenes/filtros (incluye suministro e instalación)</v>
          </cell>
          <cell r="C9" t="str">
            <v>m2</v>
          </cell>
        </row>
        <row r="10">
          <cell r="A10">
            <v>3729</v>
          </cell>
          <cell r="B10" t="str">
            <v>Concreto 14 MPa para solados (Premezclado. Incluye suministro y colocación)</v>
          </cell>
          <cell r="C10" t="str">
            <v>m3</v>
          </cell>
        </row>
        <row r="11">
          <cell r="A11">
            <v>3708</v>
          </cell>
          <cell r="B11" t="str">
            <v>Acero de refuerzo (Incluye suministro, figurado y fijación)</v>
          </cell>
          <cell r="C11" t="str">
            <v>kg</v>
          </cell>
        </row>
        <row r="12">
          <cell r="A12">
            <v>6771</v>
          </cell>
          <cell r="B12" t="str">
            <v>concreto 4000 psi (28 mpa) para losa de cimentacion reforzadas (premezclado. incluye suministro, formaleteo, colocación y curado. no incluye refuerzo)</v>
          </cell>
          <cell r="C12" t="str">
            <v>m3</v>
          </cell>
        </row>
        <row r="13">
          <cell r="A13">
            <v>5422</v>
          </cell>
          <cell r="B13" t="str">
            <v>Concreto 4000 psi para muro de contención (premezclado. incl. suministro, formaleteo y colocación. No incl. refuerzoo).  Para trabajos en altura mayores a 1.50 m</v>
          </cell>
          <cell r="C13" t="str">
            <v>m3</v>
          </cell>
        </row>
        <row r="14">
          <cell r="A14">
            <v>7680</v>
          </cell>
          <cell r="B14" t="str">
            <v>Concreto 4000 psi para columnas. (Premezclado. incluye suministro, formaleteo, curado y colocación. no incl. refuerzo)</v>
          </cell>
          <cell r="C14" t="str">
            <v>m3</v>
          </cell>
        </row>
        <row r="15">
          <cell r="A15">
            <v>5072</v>
          </cell>
          <cell r="B15" t="str">
            <v>Concreto 4000 psi para placas y vigas aereas (premezclado. Incluye suministro, formaleteo, colocación y curado. No incluye refuerzo</v>
          </cell>
          <cell r="C15" t="str">
            <v>m3</v>
          </cell>
        </row>
        <row r="16">
          <cell r="A16">
            <v>3050</v>
          </cell>
          <cell r="B16" t="str">
            <v>Relleno en material seleccionado proveniente de la excavación (extendido manual, humedecimiento y compactación)</v>
          </cell>
          <cell r="C16" t="str">
            <v>m3</v>
          </cell>
        </row>
        <row r="17">
          <cell r="A17">
            <v>7082</v>
          </cell>
          <cell r="B17" t="str">
            <v>Muro en ladrillo prensado liviano de 24x12x6cm a la vista para culatas (suministro e instalación. incluye mortero 2500 psi, impermeabilizante. no incluye estructura)</v>
          </cell>
          <cell r="C17" t="str">
            <v>m2</v>
          </cell>
        </row>
        <row r="18">
          <cell r="A18">
            <v>7183</v>
          </cell>
          <cell r="B18" t="str">
            <v>columneta de confinamiento dentro de muro en concreto común de 3000 psi sección 15cmx20 cm. (suministro, formaleta e instalación)</v>
          </cell>
          <cell r="C18" t="str">
            <v>ml</v>
          </cell>
        </row>
        <row r="19">
          <cell r="A19">
            <v>7887</v>
          </cell>
          <cell r="B19" t="str">
            <v xml:space="preserve">Anclaje epóxico de varilla de 1/2"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v>
          </cell>
          <cell r="C19" t="str">
            <v>cm.per</v>
          </cell>
        </row>
        <row r="20">
          <cell r="A20">
            <v>6505</v>
          </cell>
          <cell r="B20" t="str">
            <v>Acero estructural  grado 50 incluye transporte y montaje con anticorrosivo y pintura epóxica. (Incluye materiales, insumos, herramientas y equipos, andamios, mano de obra calificada y todo lo necesario para desarrollar la obra)</v>
          </cell>
          <cell r="C20" t="str">
            <v>kg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MEIDAS"/>
      <sheetName val="ALTO_MAGDALENA"/>
      <sheetName val="MAGDALENA_BAJO"/>
      <sheetName val="GUALIVA"/>
      <sheetName val="GUAVIO"/>
      <sheetName val="MAGDALENA_CENTRO"/>
      <sheetName val="MEDINA"/>
      <sheetName val="ORIENTE"/>
      <sheetName val="RIONEGRO"/>
      <sheetName val="SABANA_CENTRO"/>
      <sheetName val="SABANA_OCCIDENTE"/>
      <sheetName val="SOACHA"/>
      <sheetName val="SUMAPAZ"/>
      <sheetName val="TEQUENDAMA"/>
      <sheetName val="UBATE"/>
    </sheetNames>
    <sheetDataSet>
      <sheetData sheetId="0"/>
      <sheetData sheetId="1"/>
      <sheetData sheetId="2"/>
      <sheetData sheetId="3"/>
      <sheetData sheetId="4"/>
      <sheetData sheetId="5"/>
      <sheetData sheetId="6"/>
      <sheetData sheetId="7"/>
      <sheetData sheetId="8"/>
      <sheetData sheetId="9">
        <row r="87">
          <cell r="A87">
            <v>3.12</v>
          </cell>
          <cell r="C87" t="str">
            <v>TUBERÍA DRENAJE PVC 160</v>
          </cell>
        </row>
        <row r="515">
          <cell r="A515">
            <v>16.399999999999999</v>
          </cell>
          <cell r="C515" t="str">
            <v>EXCAVACIÓN MANUAL EN MATERIAL COMÚN H=0.0-2.0 M (INCLUYE RETIRO DE SOBRANTES A UNA DISTANCIA MENOR DE 5 KM)</v>
          </cell>
          <cell r="D515" t="str">
            <v>M3</v>
          </cell>
        </row>
        <row r="692">
          <cell r="C692" t="str">
            <v>ENTIBADO TIPO 2 (1/7 UTILIZACIONES)</v>
          </cell>
        </row>
        <row r="693">
          <cell r="C693" t="str">
            <v>RELLENO CON MATERIAL DE EXCAVACIÓN</v>
          </cell>
        </row>
        <row r="695">
          <cell r="C695" t="str">
            <v>RELLENO TIPO 2 "RECEBO"</v>
          </cell>
        </row>
        <row r="699">
          <cell r="C699" t="str">
            <v>RELLENO TIPO 7 "ARENA DE PEÑA"</v>
          </cell>
        </row>
        <row r="726">
          <cell r="C726" t="str">
            <v>TUBERÍA PVC ALCANTARILLADO 8"</v>
          </cell>
        </row>
        <row r="727">
          <cell r="C727" t="str">
            <v>TUBERÍA PVC ALCANTARILLADO 10"</v>
          </cell>
        </row>
        <row r="728">
          <cell r="C728" t="str">
            <v>TUBERÍA PVC ALCANTARILLADO 12"</v>
          </cell>
        </row>
        <row r="730">
          <cell r="C730" t="str">
            <v>TUBERÍA PVC ALCANTARILLADO REFORZADO 20"</v>
          </cell>
        </row>
        <row r="731">
          <cell r="C731" t="str">
            <v>TUBERÍA PVC ALCANTARILLADO REFORZADO 24"</v>
          </cell>
          <cell r="M731">
            <v>347268</v>
          </cell>
        </row>
        <row r="732">
          <cell r="C732" t="str">
            <v>TUBERÍA PVC ALCANTARILLADO REFORZADO 27"</v>
          </cell>
          <cell r="M732">
            <v>439294</v>
          </cell>
        </row>
        <row r="733">
          <cell r="C733" t="str">
            <v>TUBERÍA PVC ALCANTARILLADO REFORZADO 33"</v>
          </cell>
          <cell r="M733">
            <v>577533</v>
          </cell>
        </row>
        <row r="736">
          <cell r="C736" t="str">
            <v>ALCANTARILLADO - SUMIDEROS Y POZOS</v>
          </cell>
        </row>
        <row r="737">
          <cell r="C737" t="str">
            <v>PLACA DE FONDO POZO D=1.7M, E=0.25M (CONCRETO 3000 PSI CON REFUERZO)</v>
          </cell>
          <cell r="D737" t="str">
            <v>UN</v>
          </cell>
        </row>
        <row r="738">
          <cell r="C738" t="str">
            <v>CILINDRO POZO EN LADRILLO TOLETE, Di=1.20M, E=0.25M  (INC. PAÑETE INTERNO E=1.5CM Y CAÑUELA)</v>
          </cell>
          <cell r="D738" t="str">
            <v>ML</v>
          </cell>
        </row>
        <row r="739">
          <cell r="C739" t="str">
            <v>CUBIERTA POZO D= 1.7M, E=0.20M C0NCRETO 3000 PSI CON REFUERZO (INCLUYE ARO Y TAPA HF)</v>
          </cell>
          <cell r="D739" t="str">
            <v>UN</v>
          </cell>
        </row>
        <row r="740">
          <cell r="C740" t="str">
            <v>PLACA DE FONDO POZO D=1.96M, E=0.25M (CONCRETO 3000 PSI CON REFUERZO)</v>
          </cell>
          <cell r="D740" t="str">
            <v>UN</v>
          </cell>
          <cell r="M740">
            <v>735057</v>
          </cell>
        </row>
        <row r="741">
          <cell r="C741" t="str">
            <v>CILINDRO POZO EN LADRILLO TOLETE, Di=1.20M, E=0.38M  (INC. PAÑETE INTERNO E=1.5CM Y CAÑUELA)</v>
          </cell>
          <cell r="D741" t="str">
            <v>ML</v>
          </cell>
          <cell r="M741">
            <v>843666</v>
          </cell>
        </row>
        <row r="742">
          <cell r="C742" t="str">
            <v>CUBIERTA POZO D= 1.96M, E=0.20M C0NCRETO 3000 PSI CON REFUERZO (INCLUYE ARO Y TAPA HF)</v>
          </cell>
          <cell r="D742" t="str">
            <v>UN</v>
          </cell>
          <cell r="M742">
            <v>766684</v>
          </cell>
        </row>
        <row r="743">
          <cell r="C743" t="str">
            <v>SUMIDERO EN LADRILLO SL-100</v>
          </cell>
          <cell r="D743" t="str">
            <v>UN</v>
          </cell>
          <cell r="M743">
            <v>929532</v>
          </cell>
        </row>
        <row r="744">
          <cell r="C744" t="str">
            <v>SUMIDERO EN LADRILLO SL-250</v>
          </cell>
          <cell r="D744" t="str">
            <v>UN</v>
          </cell>
          <cell r="M744">
            <v>1337008</v>
          </cell>
        </row>
        <row r="745">
          <cell r="C745" t="str">
            <v>SUMIDERO FUNDIDO EN SITIO REFORZADO SL-100</v>
          </cell>
          <cell r="D745" t="str">
            <v>UN</v>
          </cell>
          <cell r="M745">
            <v>1830194</v>
          </cell>
        </row>
        <row r="746">
          <cell r="C746" t="str">
            <v>SUMIDERO FUNDIDO EN SITIO SL-250</v>
          </cell>
          <cell r="D746" t="str">
            <v>UN</v>
          </cell>
          <cell r="M746">
            <v>2422562</v>
          </cell>
        </row>
        <row r="747">
          <cell r="C747" t="str">
            <v>SUMIDERO PREFABRICADO SL-100</v>
          </cell>
          <cell r="D747" t="str">
            <v>UN</v>
          </cell>
          <cell r="M747">
            <v>1737520</v>
          </cell>
        </row>
        <row r="748">
          <cell r="C748" t="str">
            <v>SUMIDERO PREFABRICADO SL-250</v>
          </cell>
          <cell r="D748" t="str">
            <v>UN</v>
          </cell>
        </row>
        <row r="749">
          <cell r="C749" t="str">
            <v>NIVELACIÓN DE POZOS DE INSPECCIÓN Di=1.20M, E=0.25M, H=0,21M(INCLUYE PAÑETE INTERNO Y DEMOLICIÓN)</v>
          </cell>
          <cell r="D749" t="str">
            <v>UN</v>
          </cell>
        </row>
      </sheetData>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MEIDAS"/>
      <sheetName val="ALTO_MAGDALENA"/>
      <sheetName val="MAGDALENA_BAJO"/>
      <sheetName val="GUALIVA"/>
      <sheetName val="GUAVIO"/>
      <sheetName val="MAGDALENA_CENTRO"/>
      <sheetName val="MEDINA"/>
      <sheetName val="ORIENTE"/>
      <sheetName val="RIONEGRO"/>
      <sheetName val="SABANA_CENTRO"/>
      <sheetName val="SABANA_OCCIDENTE"/>
      <sheetName val="SOACHA"/>
      <sheetName val="SUMAPAZ"/>
      <sheetName val="TEQUENDAMA"/>
      <sheetName val="UBATE"/>
    </sheetNames>
    <sheetDataSet>
      <sheetData sheetId="0"/>
      <sheetData sheetId="1"/>
      <sheetData sheetId="2"/>
      <sheetData sheetId="3"/>
      <sheetData sheetId="4"/>
      <sheetData sheetId="5"/>
      <sheetData sheetId="6"/>
      <sheetData sheetId="7"/>
      <sheetData sheetId="8"/>
      <sheetData sheetId="9">
        <row r="700">
          <cell r="G700">
            <v>54536</v>
          </cell>
        </row>
      </sheetData>
      <sheetData sheetId="10">
        <row r="518">
          <cell r="C518" t="str">
            <v>EXCAVACIÓN MANUAL EN ROCA H=0.0-2.0 M (SECO SIN EXPLOSIVOS)</v>
          </cell>
          <cell r="G518">
            <v>89578</v>
          </cell>
        </row>
        <row r="693">
          <cell r="G693">
            <v>25910</v>
          </cell>
        </row>
        <row r="694">
          <cell r="G694">
            <v>19990</v>
          </cell>
        </row>
        <row r="696">
          <cell r="G696">
            <v>69160</v>
          </cell>
        </row>
        <row r="738">
          <cell r="G738">
            <v>714374</v>
          </cell>
        </row>
        <row r="739">
          <cell r="G739">
            <v>684417</v>
          </cell>
        </row>
        <row r="740">
          <cell r="G740">
            <v>749883</v>
          </cell>
        </row>
      </sheetData>
      <sheetData sheetId="11"/>
      <sheetData sheetId="12"/>
      <sheetData sheetId="13"/>
      <sheetData sheetId="1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ICIO"/>
      <sheetName val="PRESENTACION"/>
      <sheetName val="ASPECTOS TECNICOS"/>
      <sheetName val="ESPECIFICACIONES"/>
      <sheetName val="LISTA APU"/>
      <sheetName val="OTROS GASTOS"/>
      <sheetName val="LISTA INSUMOS"/>
      <sheetName val="INSUMOS OCT"/>
      <sheetName val="ANALISIS OCT"/>
      <sheetName val="MARCO"/>
      <sheetName val="GLOSARIO"/>
      <sheetName val="UNIDADES"/>
      <sheetName val="FOTOGRAFIAS"/>
      <sheetName val="VALIDACION INSUMO"/>
      <sheetName val="LISTA VALIDACION"/>
      <sheetName val="VALIDACION GRUPO"/>
      <sheetName val="rendimientos.rpt (2)"/>
    </sheetNames>
    <sheetDataSet>
      <sheetData sheetId="0"/>
      <sheetData sheetId="1"/>
      <sheetData sheetId="2"/>
      <sheetData sheetId="3"/>
      <sheetData sheetId="4"/>
      <sheetData sheetId="5">
        <row r="13">
          <cell r="F13">
            <v>3009</v>
          </cell>
        </row>
        <row r="29">
          <cell r="I29">
            <v>176924</v>
          </cell>
        </row>
        <row r="30">
          <cell r="I30">
            <v>226631</v>
          </cell>
        </row>
        <row r="31">
          <cell r="I31">
            <v>293271</v>
          </cell>
        </row>
        <row r="389">
          <cell r="I389">
            <v>283391</v>
          </cell>
        </row>
        <row r="447">
          <cell r="I447">
            <v>403688</v>
          </cell>
        </row>
        <row r="671">
          <cell r="F671">
            <v>4262</v>
          </cell>
          <cell r="G671" t="str">
            <v>EXCAVACION MECANICA PARA REDES PROFUNDIDAD 0m - 3.5m (Incluye Cargue)</v>
          </cell>
          <cell r="I671">
            <v>4627</v>
          </cell>
        </row>
        <row r="1775">
          <cell r="F1775">
            <v>5891</v>
          </cell>
          <cell r="G1775" t="str">
            <v>EXCAVACION MECANICA PARA REDES PROFUNDIDAD MAYORES A 3.5m (Incluye Cargue).</v>
          </cell>
          <cell r="H1775" t="str">
            <v>M3</v>
          </cell>
          <cell r="I1775">
            <v>3421</v>
          </cell>
        </row>
        <row r="1862">
          <cell r="F1862">
            <v>6015</v>
          </cell>
          <cell r="G1862" t="str">
            <v>ENTIBADO TIPO EC3 CONTINUO METÁLICO CON PARALES METÁLICOS. INCLUYE SUMINISTRO E INSTALACIÓN</v>
          </cell>
          <cell r="I1862">
            <v>53684</v>
          </cell>
        </row>
        <row r="2236">
          <cell r="F2236">
            <v>6462</v>
          </cell>
          <cell r="G2236" t="str">
            <v>TRANSPORTE DE ESCOMBROS EN SITIO AUTORIZADO (distancia de transporte 1 Km). A distancia mayor del acarreo libre (90 m) en sitio autorizado por la entidad Ambiental competente.</v>
          </cell>
          <cell r="H2236" t="str">
            <v>M3-KM</v>
          </cell>
          <cell r="I2236">
            <v>964</v>
          </cell>
        </row>
        <row r="2237">
          <cell r="F2237">
            <v>6463</v>
          </cell>
          <cell r="G2237" t="str">
            <v>DERECHO DE BOTADERO DE ESCOMBROS EN SITIO AUTORIZADO POR M3 en sitio autorizado por la entidad Ambiental competente.</v>
          </cell>
          <cell r="H2237" t="str">
            <v>M3-KM</v>
          </cell>
          <cell r="I2237">
            <v>3400</v>
          </cell>
        </row>
        <row r="2312">
          <cell r="I2312">
            <v>124101</v>
          </cell>
        </row>
      </sheetData>
      <sheetData sheetId="6"/>
      <sheetData sheetId="7">
        <row r="14">
          <cell r="F14">
            <v>324</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MEIDAS"/>
      <sheetName val="ALTO_MAGDALENA"/>
      <sheetName val="MAGDALENA_BAJO"/>
      <sheetName val="GUALIVA"/>
      <sheetName val="GUAVIO"/>
      <sheetName val="MAGDALENA_CENTRO"/>
      <sheetName val="MEDINA"/>
      <sheetName val="ORIENTE"/>
      <sheetName val="RIONEGRO"/>
      <sheetName val="SABANA_CENTRO"/>
      <sheetName val="SABANA_OCCIDENTE"/>
      <sheetName val="SOACHA"/>
      <sheetName val="SUMAPAZ"/>
      <sheetName val="TEQUENDAMA"/>
      <sheetName val="UBATE"/>
    </sheetNames>
    <sheetDataSet>
      <sheetData sheetId="0"/>
      <sheetData sheetId="1"/>
      <sheetData sheetId="2"/>
      <sheetData sheetId="3"/>
      <sheetData sheetId="4"/>
      <sheetData sheetId="5"/>
      <sheetData sheetId="6"/>
      <sheetData sheetId="7"/>
      <sheetData sheetId="8"/>
      <sheetData sheetId="9">
        <row r="54">
          <cell r="A54">
            <v>1.45</v>
          </cell>
        </row>
        <row r="87">
          <cell r="M87">
            <v>44164</v>
          </cell>
        </row>
        <row r="514">
          <cell r="A514">
            <v>16.2</v>
          </cell>
          <cell r="C514" t="str">
            <v>EXCAVACIONES VARIAS A MÁQUINA SIN CLASIFICAR (INCLUYE RETIRO DE SOBRANTES A UNA DISTANCIA MENOR DE 5 KM)</v>
          </cell>
          <cell r="G514">
            <v>18479</v>
          </cell>
        </row>
        <row r="516">
          <cell r="M516">
            <v>43707</v>
          </cell>
        </row>
        <row r="727">
          <cell r="M727">
            <v>49346</v>
          </cell>
        </row>
        <row r="728">
          <cell r="M728">
            <v>69746</v>
          </cell>
        </row>
        <row r="729">
          <cell r="M729">
            <v>100600</v>
          </cell>
        </row>
        <row r="731">
          <cell r="G731">
            <v>248049</v>
          </cell>
        </row>
      </sheetData>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ICIO"/>
      <sheetName val="PRESENTACION"/>
      <sheetName val="EQUIPO"/>
      <sheetName val="ASPECTOS TECNICOS"/>
      <sheetName val="ESPECIFICACIONES"/>
      <sheetName val="LISTA APU"/>
      <sheetName val="OTROS GASTOS"/>
      <sheetName val="LISTA INSUMOS"/>
      <sheetName val="INSUMOS OCT"/>
      <sheetName val="ANALISIS OCT"/>
      <sheetName val="MARCO"/>
      <sheetName val="GLOSARIO"/>
      <sheetName val="UNIDADES"/>
      <sheetName val="FOTOGRAFIAS"/>
      <sheetName val="VALIDACION INSUMO"/>
      <sheetName val="LISTA VALIDACION"/>
      <sheetName val="VALIDACION GRUPO"/>
      <sheetName val="rendimientos.rpt (2)"/>
    </sheetNames>
    <sheetDataSet>
      <sheetData sheetId="0"/>
      <sheetData sheetId="1"/>
      <sheetData sheetId="2"/>
      <sheetData sheetId="3"/>
      <sheetData sheetId="4"/>
      <sheetData sheetId="5"/>
      <sheetData sheetId="6">
        <row r="26">
          <cell r="F26">
            <v>3044</v>
          </cell>
          <cell r="G26" t="str">
            <v>TUBERIA PVC U.M. EXT CORRUGADO/INT LISO U.M. NORMA NTC 3722-1 D=10" (Incluye Suministro e Instalación)</v>
          </cell>
          <cell r="I26">
            <v>46386</v>
          </cell>
        </row>
        <row r="27">
          <cell r="F27">
            <v>3045</v>
          </cell>
          <cell r="G27" t="str">
            <v>TUBERIA PVC U.M. EXT CORRUGADO/INT LISO U.M. NORMA NTC 3722-1 D=12" (Incluye Suministro e Instalación)</v>
          </cell>
          <cell r="I27">
            <v>77124</v>
          </cell>
        </row>
        <row r="28">
          <cell r="F28">
            <v>3046</v>
          </cell>
          <cell r="G28" t="str">
            <v>TUBERIA PVC U.M. EXT CORRUGADO/INT LISO U.M. NORMA NTC 3722-1 D=16" (Incluye Suministro e Instalación)</v>
          </cell>
        </row>
        <row r="29">
          <cell r="F29">
            <v>3047</v>
          </cell>
          <cell r="G29" t="str">
            <v>TUBERIA PVC U.M. EXT CORRUGADO/INT LISO U.M. NORMA NTC 3722-1 D=18" (Incluye Suministro e Instalación)</v>
          </cell>
        </row>
        <row r="30">
          <cell r="F30">
            <v>3048</v>
          </cell>
          <cell r="G30" t="str">
            <v>TUBERIA PVC U.M. EXT CORRUGADO/INT LISO U.M. NORMA NTC 3722-1 D=20" (Incluye Suministro e Instalación)</v>
          </cell>
        </row>
        <row r="47">
          <cell r="F47">
            <v>3151</v>
          </cell>
          <cell r="G47" t="str">
            <v>SUMIDERO LATERAL SL-100, H=1.25m (Fundido en Sitio, Concreto Premezclado. Incl. Sumin, Form, Ref. y Constr. Incl. Tapa)</v>
          </cell>
          <cell r="I47">
            <v>1466357</v>
          </cell>
        </row>
        <row r="389">
          <cell r="F389">
            <v>3779</v>
          </cell>
          <cell r="G389" t="str">
            <v>CAJA DE INSPECCIÓN DE 0.6x0.6m (H=0.6m. Incluye Suministro y Construcción. Incluye Marco y Tapa. No Inc. Base y Cañuela)</v>
          </cell>
          <cell r="H389" t="str">
            <v>UN</v>
          </cell>
        </row>
        <row r="422">
          <cell r="F422">
            <v>3885</v>
          </cell>
          <cell r="G422" t="str">
            <v>SUMIDERO LATERAL SL-200, H=1.25m (Fundido en Sitio, Concreto Premezclado. Incl. Sumin, Form, Ref. y Constr. Incl. Tapa)</v>
          </cell>
          <cell r="I422">
            <v>2288949</v>
          </cell>
        </row>
        <row r="425">
          <cell r="F425">
            <v>3888</v>
          </cell>
          <cell r="G425" t="str">
            <v>SUMIDERO LATERAL SL-250, H=1.25m (Fundido en Sitio, Concreto Premezclado. Incl. Sumin, Form, Ref. y Constr. Incl. Tapa)</v>
          </cell>
          <cell r="I425">
            <v>2515146</v>
          </cell>
        </row>
        <row r="433">
          <cell r="F433">
            <v>3896</v>
          </cell>
          <cell r="G433" t="str">
            <v>SUMIDERO LATERAL SL-150, H=1.25m (Fundido en Sitio, Concreto Premezclado. Incl. Sumin, Form, Ref. y Constr. Incl. Tapa)</v>
          </cell>
          <cell r="I433">
            <v>1853066</v>
          </cell>
        </row>
        <row r="448">
          <cell r="F448">
            <v>3919</v>
          </cell>
          <cell r="G448" t="str">
            <v>TUBERIA PVC  U.M. EXT/INT LISO NORMA NTC 5070 D=24" (Incluye Suministro e Instalación)</v>
          </cell>
        </row>
        <row r="449">
          <cell r="F449">
            <v>3920</v>
          </cell>
          <cell r="G449" t="str">
            <v>TUBERIA PVC  U.M. EXT/INT LISO NORMA NTC 5070 D=27" (Incluye Suministro e Instalación)</v>
          </cell>
          <cell r="I449">
            <v>281392</v>
          </cell>
        </row>
        <row r="450">
          <cell r="F450">
            <v>3921</v>
          </cell>
          <cell r="G450" t="str">
            <v>TUBERIA PVC  U.M. EXT/INT LISO NORMA NTC 5070 D=30" (Incluye Suministro e Instalación)</v>
          </cell>
          <cell r="I450">
            <v>344772</v>
          </cell>
        </row>
        <row r="451">
          <cell r="F451">
            <v>3922</v>
          </cell>
          <cell r="G451" t="str">
            <v>TUBERIA PVC  U.M. EXT/INT LISO NORMA NTC 5070 D=33" (Incluye Suministro e Instalación)</v>
          </cell>
          <cell r="H451" t="str">
            <v>ML</v>
          </cell>
          <cell r="I451">
            <v>356023</v>
          </cell>
        </row>
      </sheetData>
      <sheetData sheetId="7"/>
      <sheetData sheetId="8">
        <row r="464">
          <cell r="H464" t="str">
            <v>UN</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chas de Actualización"/>
      <sheetName val="MENU"/>
      <sheetName val="INICIO"/>
      <sheetName val="PRESENTACION"/>
      <sheetName val="ASPECTOS TECNICOS"/>
      <sheetName val="LISTA APU"/>
      <sheetName val="OTROS GASTOS"/>
      <sheetName val="Novedades"/>
      <sheetName val="Tarifas truncadas"/>
      <sheetName val="LISTA INSUMOS"/>
      <sheetName val="INSUMOS OCT"/>
      <sheetName val="ANALISIS OCT"/>
      <sheetName val="MARCO"/>
      <sheetName val="GLOSARIO"/>
      <sheetName val="UNIDADES"/>
      <sheetName val="FOTOGRAFIAS"/>
      <sheetName val="VALIDACION INSUMO"/>
      <sheetName val="LISTA VALIDACION"/>
      <sheetName val="VALIDACION GRUPO"/>
      <sheetName val="rendimientos.rpt (2)"/>
    </sheetNames>
    <sheetDataSet>
      <sheetData sheetId="0" refreshError="1"/>
      <sheetData sheetId="1" refreshError="1"/>
      <sheetData sheetId="2" refreshError="1"/>
      <sheetData sheetId="3" refreshError="1"/>
      <sheetData sheetId="4" refreshError="1"/>
      <sheetData sheetId="5" refreshError="1">
        <row r="94">
          <cell r="F94">
            <v>3245</v>
          </cell>
          <cell r="G94" t="str">
            <v>TUBERIA PVC D=12" TIPO U.M. RDE 32.5 (Suministro e Instalación)</v>
          </cell>
          <cell r="I94">
            <v>183340</v>
          </cell>
        </row>
        <row r="143">
          <cell r="F143">
            <v>3297</v>
          </cell>
          <cell r="G143" t="str">
            <v>CODO HD 90° EXTREMO LISO PARA PVC D=12" (Suministro e Instalación)</v>
          </cell>
          <cell r="I143">
            <v>1660949</v>
          </cell>
        </row>
        <row r="154">
          <cell r="F154">
            <v>3309</v>
          </cell>
          <cell r="G154" t="str">
            <v>CODO HD 45° EXTREMO LISO PARA PVC D=12" (Suministro e Instalación)</v>
          </cell>
          <cell r="I154">
            <v>1295214</v>
          </cell>
        </row>
        <row r="160">
          <cell r="F160">
            <v>3316</v>
          </cell>
          <cell r="G160" t="str">
            <v>CODO HD 22.5° EXTREMO LISO PARA PVC D=12" (Suministro e Instalación)</v>
          </cell>
          <cell r="I160">
            <v>1381608</v>
          </cell>
        </row>
        <row r="162">
          <cell r="F162">
            <v>3318</v>
          </cell>
          <cell r="G162" t="str">
            <v>CODO HD 11.25° EXTREMO LISO PARA PVC D=12" (Suministro e Instalación)</v>
          </cell>
          <cell r="I162">
            <v>1207380</v>
          </cell>
        </row>
        <row r="333">
          <cell r="F333">
            <v>3611</v>
          </cell>
          <cell r="G333" t="str">
            <v>CONCRETO 2500 PSI PARA ANCLAJE TUBERIA (Premezclado. Incluye Suministro, Formaleteo y Colocación)</v>
          </cell>
          <cell r="I333">
            <v>399262</v>
          </cell>
        </row>
        <row r="366">
          <cell r="F366">
            <v>3708</v>
          </cell>
          <cell r="G366" t="str">
            <v>ACERO DE REFUERZO (Incluye Suministro, Figurado y Fijación)</v>
          </cell>
          <cell r="I366">
            <v>2990</v>
          </cell>
        </row>
        <row r="781">
          <cell r="F781">
            <v>4403</v>
          </cell>
          <cell r="G781" t="str">
            <v>VALVULA COMPUERTA ELASTICA VASTAGO NO ASCENDENTE EXTREMO LISO D=12" (Suministro e Instalación)</v>
          </cell>
          <cell r="I781">
            <v>4924611</v>
          </cell>
        </row>
        <row r="804">
          <cell r="F804">
            <v>4426</v>
          </cell>
          <cell r="G804" t="str">
            <v>ACOPLE UNIVERSAL, UNION ALFA O MULTIUSOS D=12" (Suministro e Instalación)</v>
          </cell>
          <cell r="I804">
            <v>714367</v>
          </cell>
        </row>
        <row r="1230">
          <cell r="F1230">
            <v>4978</v>
          </cell>
          <cell r="G1230" t="str">
            <v>CONSTRUCCIÓN DE CAJA PARA VALVULA D= 3", D= 4", D= 6" Y D= 8" (NORMA EAAB NS-027) DE 0.4m x0.5m H=2.0m (Incluye Marco y Tapa).</v>
          </cell>
          <cell r="I1230">
            <v>424196</v>
          </cell>
        </row>
        <row r="1231">
          <cell r="F1231">
            <v>4979</v>
          </cell>
          <cell r="G1231" t="str">
            <v>CONSTRUCCIÓN DE CAJA PARA VALVULA D= 10", D= 12" DE 0.5m x0.6m H=2.0m (Incluye tapa válvula de seguridad).</v>
          </cell>
          <cell r="I1231">
            <v>451201</v>
          </cell>
        </row>
        <row r="2387">
          <cell r="F2387">
            <v>6644</v>
          </cell>
          <cell r="G2387" t="str">
            <v>VÁLVULA COMPUERTA ELÁSTICA VA (VÁSTAGO ASCENDENTE) D=4" CLASE 150mm CON EXTREMOS BRIDADOS (Suministro e instalación)</v>
          </cell>
          <cell r="I2387">
            <v>877184</v>
          </cell>
        </row>
        <row r="2426">
          <cell r="F2426">
            <v>6683</v>
          </cell>
          <cell r="G2426" t="str">
            <v>TEE HD EXTREMO JUNTA HIDRÁULICA 12" x 4" (Suministro e Instalación)</v>
          </cell>
          <cell r="I2426">
            <v>1477943</v>
          </cell>
        </row>
        <row r="2571">
          <cell r="F2571">
            <v>6830</v>
          </cell>
          <cell r="G2571" t="str">
            <v>VALVULA COMPUERTA ELASTICA VASTAGO NO ASCENDENTE EXTREMO JUNTA HIDRÁULICA D=4" (Suministro e Instalación)</v>
          </cell>
          <cell r="I2571">
            <v>694819</v>
          </cell>
        </row>
        <row r="3194">
          <cell r="F3194">
            <v>7455</v>
          </cell>
          <cell r="G3194" t="str">
            <v>VÁLVULA DE MARIPOSA Ø 12"A BRIDA - BRIDA (A) (150 PSI). SUMINISTRO E INSTALACIÓN</v>
          </cell>
          <cell r="I3194">
            <v>1123562</v>
          </cell>
        </row>
        <row r="3219">
          <cell r="F3219">
            <v>7480</v>
          </cell>
          <cell r="G3219" t="str">
            <v>UNIÓN JUNTA DE DESMONTAJE Ø 12 (A) (Suministro e Instalación)</v>
          </cell>
          <cell r="I3219">
            <v>1500607</v>
          </cell>
        </row>
        <row r="3294">
          <cell r="F3294">
            <v>7555</v>
          </cell>
          <cell r="G3294" t="str">
            <v>VÁLVULA  DE CHEQUE 4" (150PSI) EXTREMOS BRIDADOS (Suministro e instalación)</v>
          </cell>
          <cell r="I3294">
            <v>965107</v>
          </cell>
        </row>
        <row r="3297">
          <cell r="F3297">
            <v>7558</v>
          </cell>
          <cell r="G3297" t="str">
            <v>VÁLVULA VENTOSA HD COMBINADA TRIPLE ACCIÓN (TRIPLE EFECTO) D=3" EXTREMO EN BRIDA CLASE 150 (Suministro e Instalación)</v>
          </cell>
          <cell r="I3297">
            <v>537420</v>
          </cell>
        </row>
        <row r="3305">
          <cell r="F3305">
            <v>7566</v>
          </cell>
          <cell r="G3305" t="str">
            <v>VÁLVULA COMPUERTA ELÁSTICA  EXTREMOS BRIDADOS D=3" 150 PSI (Suministro e Instalación)</v>
          </cell>
          <cell r="I3305">
            <v>362127</v>
          </cell>
        </row>
        <row r="3306">
          <cell r="F3306">
            <v>7567</v>
          </cell>
          <cell r="G3306" t="str">
            <v>UNIÓN JUNTA DE DESMONTAJE TIPO DRESSER Ø 4"  150 PSI (Suministro e Instalación)</v>
          </cell>
          <cell r="I3306">
            <v>574521</v>
          </cell>
        </row>
        <row r="3478">
          <cell r="F3478">
            <v>7741</v>
          </cell>
          <cell r="G3478" t="str">
            <v>BRIDA CIEGA EN ACERO (HD), PN 10, D= 12". PRESIÓN DE TRABAJO= 150 PSI. SUMINISTRO E INSTALACIÓN.</v>
          </cell>
          <cell r="I3478">
            <v>916399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row r="7">
          <cell r="N7">
            <v>3</v>
          </cell>
        </row>
        <row r="8">
          <cell r="N8">
            <v>6</v>
          </cell>
        </row>
        <row r="9">
          <cell r="N9">
            <v>3</v>
          </cell>
        </row>
        <row r="10">
          <cell r="N10">
            <v>6</v>
          </cell>
        </row>
        <row r="14">
          <cell r="E14">
            <v>1</v>
          </cell>
        </row>
        <row r="15">
          <cell r="E15">
            <v>1</v>
          </cell>
        </row>
        <row r="54">
          <cell r="G54">
            <v>49.777999999999999</v>
          </cell>
          <cell r="J54">
            <v>2704.98</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_2"/>
      <sheetName val="calc cant"/>
    </sheetNames>
    <sheetDataSet>
      <sheetData sheetId="0">
        <row r="68">
          <cell r="B68">
            <v>1.45</v>
          </cell>
          <cell r="C68" t="str">
            <v>RETIRO DE SOBRANTES A UNA DISTANCIA DE 5 KM (INCLUYE CARGUE)</v>
          </cell>
          <cell r="F68">
            <v>9189</v>
          </cell>
        </row>
        <row r="69">
          <cell r="B69">
            <v>3009</v>
          </cell>
          <cell r="C69" t="str">
            <v>EXCAVACION MANUAL PARA REDES PROFUNDIDAD 0m - 2m (Incluye Cargue)</v>
          </cell>
          <cell r="D69" t="str">
            <v>M3</v>
          </cell>
          <cell r="F69">
            <v>25076</v>
          </cell>
        </row>
      </sheetData>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sheetName val="VR_UNIT"/>
      <sheetName val="APUS 2019"/>
    </sheetNames>
    <sheetDataSet>
      <sheetData sheetId="0">
        <row r="25">
          <cell r="F25" t="str">
            <v>Suministro e Instalación de tubería de la Red de Acueducto</v>
          </cell>
          <cell r="I25">
            <v>271588138.61563325</v>
          </cell>
        </row>
        <row r="26">
          <cell r="F26" t="str">
            <v>Suministro e instalación de accesorios</v>
          </cell>
          <cell r="I26">
            <v>32100327.839999996</v>
          </cell>
        </row>
        <row r="27">
          <cell r="F27" t="str">
            <v>Suministro y construcción de anclajes para accesorios</v>
          </cell>
          <cell r="I27">
            <v>64601047.737999998</v>
          </cell>
        </row>
        <row r="28">
          <cell r="F28" t="str">
            <v>Suministro e instalación de válvulas y cajas de la Red de Acueducto</v>
          </cell>
          <cell r="I28">
            <v>12997595.069563657</v>
          </cell>
        </row>
        <row r="47">
          <cell r="F47" t="str">
            <v>Administración y Gastos Generales</v>
          </cell>
          <cell r="H47">
            <v>0.12</v>
          </cell>
        </row>
        <row r="50">
          <cell r="F50" t="str">
            <v>Imprevistos 8% (CD + ADMON + GG)</v>
          </cell>
          <cell r="H50">
            <v>0.08</v>
          </cell>
        </row>
        <row r="53">
          <cell r="F53" t="str">
            <v>Interventoría</v>
          </cell>
          <cell r="H53">
            <v>7.0000000000000007E-2</v>
          </cell>
        </row>
      </sheetData>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_1"/>
      <sheetName val="Formulario_2"/>
      <sheetName val="Formulario_3"/>
      <sheetName val="Formulario_4"/>
      <sheetName val="Formulario_5"/>
      <sheetName val="APUs nuevos"/>
      <sheetName val="Lista_prec_base"/>
      <sheetName val="calc cant"/>
    </sheetNames>
    <sheetDataSet>
      <sheetData sheetId="0"/>
      <sheetData sheetId="1"/>
      <sheetData sheetId="2">
        <row r="83">
          <cell r="F83">
            <v>1172563333.1239896</v>
          </cell>
          <cell r="G83">
            <v>3963.611846063076</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Formulario_1"/>
      <sheetName val="Formulario_2"/>
      <sheetName val="Formulario_3"/>
      <sheetName val="Formulario_4"/>
      <sheetName val="Formulario_5"/>
      <sheetName val="APUs nuevos"/>
      <sheetName val="Lista_prec_base"/>
      <sheetName val="calc cant"/>
    </sheetNames>
    <sheetDataSet>
      <sheetData sheetId="0"/>
      <sheetData sheetId="1"/>
      <sheetData sheetId="2">
        <row r="84">
          <cell r="F84">
            <v>725803006.72068584</v>
          </cell>
          <cell r="G84">
            <v>2389.6809932939327</v>
          </cell>
        </row>
      </sheetData>
      <sheetData sheetId="3"/>
      <sheetData sheetId="4"/>
      <sheetData sheetId="5"/>
      <sheetData sheetId="6"/>
      <sheetData sheetId="7"/>
      <sheetData sheetId="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DE ENTRADA"/>
      <sheetName val="PPTO FASE II"/>
      <sheetName val="LICITACIÓN"/>
      <sheetName val="GRUPOS"/>
      <sheetName val="TRAMOS"/>
      <sheetName val="Costo EYD"/>
      <sheetName val="Predial T8"/>
      <sheetName val="DISTtranGRAN"/>
      <sheetName val="APUS NUEVOS"/>
      <sheetName val="APUS Proyecto"/>
      <sheetName val="INSUMOS"/>
      <sheetName val="RES_COT"/>
      <sheetName val="APU_FO-IC-03"/>
      <sheetName val="Listado_Equipos"/>
      <sheetName val="PMT-DESVIOS"/>
      <sheetName val="TRAMO 1"/>
      <sheetName val="TRAMO 2"/>
      <sheetName val="TRAMO 3"/>
      <sheetName val="TRAMO 4"/>
      <sheetName val="TRAMO 9 INTAVBOY"/>
      <sheetName val="TRAMO 5A"/>
      <sheetName val="TRAMO 5B"/>
      <sheetName val="TRAMO 6"/>
      <sheetName val="TRAMO 7"/>
      <sheetName val="TRAMO 8"/>
      <sheetName val="REDES ELÉCTRIC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2">
          <cell r="E22" t="str">
            <v>NIVELACION Y COMPACTACIÓN DE SUBRASANTE</v>
          </cell>
        </row>
        <row r="67">
          <cell r="H67">
            <v>22328</v>
          </cell>
        </row>
        <row r="258">
          <cell r="H258">
            <v>95175</v>
          </cell>
        </row>
        <row r="448">
          <cell r="H448">
            <v>55834</v>
          </cell>
        </row>
        <row r="450">
          <cell r="H450">
            <v>29454</v>
          </cell>
        </row>
      </sheetData>
      <sheetData sheetId="18"/>
      <sheetData sheetId="19"/>
      <sheetData sheetId="20"/>
      <sheetData sheetId="21"/>
      <sheetData sheetId="22"/>
      <sheetData sheetId="23"/>
      <sheetData sheetId="24"/>
      <sheetData sheetId="2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EBAP"/>
      <sheetName val="Mat&amp;ACC Impulsión"/>
      <sheetName val="Tubería Conducción"/>
      <sheetName val="Cant."/>
    </sheetNames>
    <sheetDataSet>
      <sheetData sheetId="0">
        <row r="5">
          <cell r="A5" t="str">
            <v xml:space="preserve">Válvula de pie, de 14" de diámetro, canasta en bronce, Bridada </v>
          </cell>
        </row>
      </sheetData>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EBAP"/>
      <sheetName val="Mat&amp;ACC Impulsión"/>
      <sheetName val="Tubería Conducción"/>
      <sheetName val="Cant."/>
    </sheetNames>
    <sheetDataSet>
      <sheetData sheetId="0"/>
      <sheetData sheetId="1">
        <row r="5">
          <cell r="A5" t="str">
            <v xml:space="preserve">Dresser de 18" de diámetro </v>
          </cell>
        </row>
        <row r="13">
          <cell r="A13" t="str">
            <v>Válvula de compuerta sello en bronce de 4" de diámetro BxB</v>
          </cell>
        </row>
      </sheetData>
      <sheetData sheetId="2">
        <row r="18">
          <cell r="A18" t="str">
            <v>Tee A.C. de 24" x 4" Excentrica Bridada</v>
          </cell>
        </row>
      </sheetData>
      <sheetData sheetId="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_2"/>
      <sheetName val="calc cant"/>
    </sheetNames>
    <sheetDataSet>
      <sheetData sheetId="0"/>
      <sheetData sheetId="1">
        <row r="4">
          <cell r="Z4" t="str">
            <v>MDC-25</v>
          </cell>
          <cell r="AC4" t="str">
            <v>MEJORAMIENTO</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s>
    <sheetDataSet>
      <sheetData sheetId="0"/>
      <sheetData sheetId="1">
        <row r="13">
          <cell r="P13">
            <v>14.000031709330306</v>
          </cell>
        </row>
        <row r="14">
          <cell r="P14">
            <v>14.117463189206685</v>
          </cell>
        </row>
        <row r="15">
          <cell r="P15">
            <v>19.767410272981756</v>
          </cell>
        </row>
        <row r="17">
          <cell r="P17">
            <v>60.000022843352824</v>
          </cell>
        </row>
        <row r="18">
          <cell r="P18">
            <v>60.000022843352824</v>
          </cell>
        </row>
        <row r="19">
          <cell r="P19">
            <v>39.916419271224612</v>
          </cell>
        </row>
        <row r="20">
          <cell r="P20">
            <v>40.573145432118807</v>
          </cell>
        </row>
        <row r="21">
          <cell r="P21">
            <v>25.710061691996849</v>
          </cell>
        </row>
        <row r="22">
          <cell r="P22">
            <v>41.262107210914387</v>
          </cell>
        </row>
        <row r="23">
          <cell r="P23">
            <v>29.999928728307623</v>
          </cell>
        </row>
        <row r="24">
          <cell r="P24">
            <v>17.981106466529972</v>
          </cell>
        </row>
        <row r="25">
          <cell r="P25">
            <v>10.999962898501103</v>
          </cell>
        </row>
        <row r="26">
          <cell r="P26">
            <v>10.62272460812585</v>
          </cell>
        </row>
        <row r="28">
          <cell r="P28">
            <v>49.857993788847985</v>
          </cell>
        </row>
        <row r="29">
          <cell r="P29">
            <v>49.999978890578369</v>
          </cell>
        </row>
        <row r="30">
          <cell r="P30">
            <v>39.878081470486194</v>
          </cell>
        </row>
        <row r="31">
          <cell r="P31">
            <v>40.178936522662994</v>
          </cell>
        </row>
        <row r="32">
          <cell r="P32">
            <v>26.856893086353729</v>
          </cell>
        </row>
        <row r="33">
          <cell r="P33">
            <v>26.99994062159454</v>
          </cell>
        </row>
        <row r="34">
          <cell r="P34">
            <v>27.000039173986135</v>
          </cell>
        </row>
        <row r="35">
          <cell r="P35">
            <v>26.999743516748286</v>
          </cell>
        </row>
        <row r="36">
          <cell r="P36">
            <v>27.000236278915995</v>
          </cell>
        </row>
        <row r="37">
          <cell r="P37">
            <v>27.000039174120602</v>
          </cell>
        </row>
        <row r="38">
          <cell r="P38">
            <v>26.999957575155694</v>
          </cell>
        </row>
        <row r="39">
          <cell r="P39">
            <v>17.350049428444578</v>
          </cell>
        </row>
        <row r="40">
          <cell r="P40">
            <v>31.149903784928046</v>
          </cell>
        </row>
        <row r="41">
          <cell r="P41">
            <v>27.500082051473402</v>
          </cell>
        </row>
        <row r="42">
          <cell r="P42">
            <v>27.499983499098089</v>
          </cell>
        </row>
        <row r="43">
          <cell r="P43">
            <v>27.499983499098089</v>
          </cell>
        </row>
        <row r="44">
          <cell r="P44">
            <v>27.499983499098089</v>
          </cell>
        </row>
        <row r="45">
          <cell r="P45">
            <v>27.499983499098089</v>
          </cell>
        </row>
        <row r="46">
          <cell r="P46">
            <v>27.50006509823536</v>
          </cell>
        </row>
        <row r="47">
          <cell r="P47">
            <v>27.56065406080921</v>
          </cell>
        </row>
        <row r="48">
          <cell r="P48">
            <v>7.1017958947580393</v>
          </cell>
        </row>
        <row r="50">
          <cell r="P50">
            <v>26.999965600652001</v>
          </cell>
        </row>
        <row r="51">
          <cell r="P51">
            <v>27.000065041584108</v>
          </cell>
        </row>
        <row r="52">
          <cell r="P52">
            <v>26.999808962316326</v>
          </cell>
        </row>
        <row r="53">
          <cell r="P53">
            <v>27.000132804353754</v>
          </cell>
        </row>
        <row r="54">
          <cell r="P54">
            <v>27.000065041584108</v>
          </cell>
        </row>
        <row r="55">
          <cell r="P55">
            <v>26.999965600652001</v>
          </cell>
        </row>
        <row r="56">
          <cell r="P56">
            <v>26.999965600767766</v>
          </cell>
        </row>
        <row r="57">
          <cell r="P57">
            <v>26.999965600755473</v>
          </cell>
        </row>
        <row r="58">
          <cell r="P58">
            <v>14.779229485319842</v>
          </cell>
        </row>
        <row r="60">
          <cell r="P60">
            <v>30.000039121490257</v>
          </cell>
        </row>
        <row r="61">
          <cell r="P61">
            <v>11.231980566675819</v>
          </cell>
        </row>
        <row r="62">
          <cell r="P62">
            <v>17.099422036998117</v>
          </cell>
        </row>
        <row r="64">
          <cell r="P64">
            <v>30.000044510727296</v>
          </cell>
        </row>
        <row r="65">
          <cell r="P65">
            <v>30.024899379702475</v>
          </cell>
        </row>
        <row r="66">
          <cell r="P66">
            <v>25.024720581867115</v>
          </cell>
        </row>
        <row r="67">
          <cell r="P67">
            <v>25.02468101071792</v>
          </cell>
        </row>
        <row r="68">
          <cell r="P68">
            <v>28.884708648222968</v>
          </cell>
        </row>
        <row r="69">
          <cell r="P69">
            <v>7.1216706754906776</v>
          </cell>
        </row>
        <row r="71">
          <cell r="P71">
            <v>34.26292313651718</v>
          </cell>
        </row>
        <row r="72">
          <cell r="P72">
            <v>6.692983266082499</v>
          </cell>
        </row>
        <row r="74">
          <cell r="P74">
            <v>38.230710886676306</v>
          </cell>
        </row>
        <row r="75">
          <cell r="P75">
            <v>8.1493034058286931</v>
          </cell>
        </row>
        <row r="77">
          <cell r="P77">
            <v>50.000020435731223</v>
          </cell>
        </row>
        <row r="78">
          <cell r="P78">
            <v>27.999961080376455</v>
          </cell>
        </row>
        <row r="79">
          <cell r="P79">
            <v>27.999978862970732</v>
          </cell>
        </row>
        <row r="80">
          <cell r="P80">
            <v>29.697736825792127</v>
          </cell>
        </row>
        <row r="81">
          <cell r="P81">
            <v>10.997088023617726</v>
          </cell>
        </row>
        <row r="83">
          <cell r="P83">
            <v>65.003243569671355</v>
          </cell>
        </row>
        <row r="84">
          <cell r="P84">
            <v>59.995556909681625</v>
          </cell>
        </row>
        <row r="85">
          <cell r="P85">
            <v>59.999987986166602</v>
          </cell>
        </row>
        <row r="86">
          <cell r="P86">
            <v>59.999987986153293</v>
          </cell>
        </row>
        <row r="87">
          <cell r="P87">
            <v>59.999976552406025</v>
          </cell>
        </row>
        <row r="88">
          <cell r="P88">
            <v>29.995080920826169</v>
          </cell>
        </row>
        <row r="89">
          <cell r="P89">
            <v>29.993877633432149</v>
          </cell>
        </row>
        <row r="90">
          <cell r="P90">
            <v>60.000033476860516</v>
          </cell>
        </row>
        <row r="91">
          <cell r="P91">
            <v>44.999994867251608</v>
          </cell>
        </row>
        <row r="92">
          <cell r="P92">
            <v>44.999994867166308</v>
          </cell>
        </row>
        <row r="93">
          <cell r="P93">
            <v>26.701590244194719</v>
          </cell>
        </row>
        <row r="94">
          <cell r="P94">
            <v>20.135002091407991</v>
          </cell>
        </row>
        <row r="95">
          <cell r="P95">
            <v>9.4101989352168722</v>
          </cell>
        </row>
      </sheetData>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s>
    <sheetDataSet>
      <sheetData sheetId="0"/>
      <sheetData sheetId="1">
        <row r="13">
          <cell r="P13">
            <v>45.196549957331015</v>
          </cell>
        </row>
        <row r="14">
          <cell r="P14">
            <v>44.999958384979173</v>
          </cell>
        </row>
        <row r="15">
          <cell r="P15">
            <v>60.000005273715743</v>
          </cell>
        </row>
        <row r="16">
          <cell r="P16">
            <v>50.233055548040134</v>
          </cell>
        </row>
        <row r="17">
          <cell r="P17">
            <v>49.642110315562874</v>
          </cell>
        </row>
        <row r="18">
          <cell r="P18">
            <v>40.007877049029652</v>
          </cell>
        </row>
        <row r="19">
          <cell r="P19">
            <v>54.999932791310314</v>
          </cell>
        </row>
        <row r="20">
          <cell r="P20">
            <v>48.294974171295756</v>
          </cell>
        </row>
        <row r="21">
          <cell r="P21">
            <v>7.7703979949147248</v>
          </cell>
        </row>
        <row r="23">
          <cell r="P23">
            <v>50.000057000909564</v>
          </cell>
        </row>
        <row r="24">
          <cell r="P24">
            <v>49.999957070356373</v>
          </cell>
        </row>
        <row r="25">
          <cell r="P25">
            <v>37.700008444152843</v>
          </cell>
        </row>
        <row r="26">
          <cell r="P26">
            <v>5.1917031010823136</v>
          </cell>
        </row>
        <row r="28">
          <cell r="P28">
            <v>55.00535164559475</v>
          </cell>
        </row>
        <row r="29">
          <cell r="P29">
            <v>50.002174085205517</v>
          </cell>
        </row>
        <row r="30">
          <cell r="P30">
            <v>9.1222009542832545</v>
          </cell>
        </row>
        <row r="31">
          <cell r="P31">
            <v>7.7890023109607922</v>
          </cell>
        </row>
        <row r="33">
          <cell r="P33">
            <v>50.000006288505624</v>
          </cell>
        </row>
        <row r="34">
          <cell r="P34">
            <v>55.000066898316561</v>
          </cell>
        </row>
        <row r="35">
          <cell r="P35">
            <v>19.999750023508753</v>
          </cell>
        </row>
        <row r="36">
          <cell r="P36">
            <v>20.000695712867437</v>
          </cell>
        </row>
        <row r="37">
          <cell r="P37">
            <v>24.92450499005033</v>
          </cell>
        </row>
        <row r="38">
          <cell r="P38">
            <v>54.999974181774014</v>
          </cell>
        </row>
        <row r="39">
          <cell r="P39">
            <v>50.000309849094918</v>
          </cell>
        </row>
        <row r="40">
          <cell r="P40">
            <v>60.001612311630012</v>
          </cell>
        </row>
        <row r="41">
          <cell r="P41">
            <v>52.177983757567191</v>
          </cell>
        </row>
        <row r="42">
          <cell r="P42">
            <v>7.7204095746719457</v>
          </cell>
        </row>
        <row r="44">
          <cell r="P44">
            <v>50.000032681913112</v>
          </cell>
        </row>
        <row r="45">
          <cell r="P45">
            <v>38.661079087999056</v>
          </cell>
        </row>
        <row r="46">
          <cell r="P46">
            <v>19.999710845967115</v>
          </cell>
        </row>
        <row r="47">
          <cell r="P47">
            <v>20.000214591870112</v>
          </cell>
        </row>
        <row r="48">
          <cell r="P48">
            <v>36.306205183128192</v>
          </cell>
        </row>
        <row r="49">
          <cell r="P49">
            <v>45.000088066739615</v>
          </cell>
        </row>
        <row r="50">
          <cell r="P50">
            <v>44.999988067211</v>
          </cell>
        </row>
        <row r="51">
          <cell r="P51">
            <v>59.768001071651682</v>
          </cell>
        </row>
        <row r="52">
          <cell r="P52">
            <v>19.999657529330996</v>
          </cell>
        </row>
        <row r="53">
          <cell r="P53">
            <v>20.000336822171114</v>
          </cell>
        </row>
        <row r="54">
          <cell r="P54">
            <v>20.422040007088359</v>
          </cell>
        </row>
        <row r="55">
          <cell r="P55">
            <v>36.31302092428237</v>
          </cell>
        </row>
      </sheetData>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illas"/>
      <sheetName val="Equipo"/>
      <sheetName val="Materiales"/>
      <sheetName val="Básicos"/>
      <sheetName val="1"/>
      <sheetName val="2"/>
      <sheetName val="3"/>
      <sheetName val="4"/>
      <sheetName val="5"/>
      <sheetName val="6"/>
      <sheetName val="7"/>
      <sheetName val="8"/>
      <sheetName val="9"/>
      <sheetName val="10"/>
      <sheetName val="11"/>
      <sheetName val="12"/>
      <sheetName val="13"/>
      <sheetName val="14"/>
      <sheetName val="15"/>
      <sheetName val="PRESUPUESTO ZONA"/>
      <sheetName val="AIU"/>
      <sheetName val="ORGANIGRAMA"/>
      <sheetName val="RELACION PERS. OBRA"/>
    </sheetNames>
    <sheetDataSet>
      <sheetData sheetId="0" refreshError="1"/>
      <sheetData sheetId="1" refreshError="1"/>
      <sheetData sheetId="2">
        <row r="38">
          <cell r="C38">
            <v>2321</v>
          </cell>
        </row>
        <row r="39">
          <cell r="C39">
            <v>9258</v>
          </cell>
        </row>
        <row r="70">
          <cell r="C70">
            <v>56127</v>
          </cell>
        </row>
        <row r="120">
          <cell r="C120">
            <v>17942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owner" refreshedDate="43488.352505208335" createdVersion="6" refreshedVersion="6" minRefreshableVersion="3" recordCount="169">
  <cacheSource type="worksheet">
    <worksheetSource ref="G3:S172" sheet="calc cant"/>
  </cacheSource>
  <cacheFields count="13">
    <cacheField name="Diametro" numFmtId="0">
      <sharedItems containsBlank="1" containsMixedTypes="1" containsNumber="1" containsInteger="1" minValue="8" maxValue="27" count="11">
        <s v="Pulg"/>
        <m/>
        <n v="16"/>
        <n v="24" u="1"/>
        <n v="12" u="1"/>
        <n v="27" u="1"/>
        <n v="14" u="1"/>
        <n v="8" u="1"/>
        <n v="18" u="1"/>
        <n v="20" u="1"/>
        <n v="10" u="1"/>
      </sharedItems>
    </cacheField>
    <cacheField name="Diametro_x000a_Interior" numFmtId="0">
      <sharedItems containsBlank="1" containsMixedTypes="1" containsNumber="1" minValue="0.4" maxValue="0.4"/>
    </cacheField>
    <cacheField name="Longitud" numFmtId="0">
      <sharedItems containsBlank="1" containsMixedTypes="1" containsNumber="1" minValue="65" maxValue="90"/>
    </cacheField>
    <cacheField name="S" numFmtId="0">
      <sharedItems containsBlank="1" containsMixedTypes="1" containsNumber="1" minValue="0.11" maxValue="0.11"/>
    </cacheField>
    <cacheField name="Caida" numFmtId="0">
      <sharedItems containsNonDate="0" containsString="0" containsBlank="1"/>
    </cacheField>
    <cacheField name="Cota Batea No 1" numFmtId="0">
      <sharedItems containsBlank="1" containsMixedTypes="1" containsNumber="1" minValue="2539.98" maxValue="2541.08"/>
    </cacheField>
    <cacheField name="Cota Batea No 2" numFmtId="0">
      <sharedItems containsBlank="1" containsMixedTypes="1" containsNumber="1" minValue="2539.9" maxValue="2540.98"/>
    </cacheField>
    <cacheField name="Cota Clave No 1" numFmtId="0">
      <sharedItems containsBlank="1" containsMixedTypes="1" containsNumber="1" minValue="2540.37" maxValue="2541.48"/>
    </cacheField>
    <cacheField name="Cota Clave No 2" numFmtId="0">
      <sharedItems containsBlank="1" containsMixedTypes="1" containsNumber="1" minValue="2540.3000000000002" maxValue="2541.38"/>
    </cacheField>
    <cacheField name="Cota Terreno No 1" numFmtId="0">
      <sharedItems containsBlank="1" containsMixedTypes="1" containsNumber="1" minValue="2543" maxValue="2546.6999999999998"/>
    </cacheField>
    <cacheField name="Cota Terreno No 2" numFmtId="0">
      <sharedItems containsBlank="1" containsMixedTypes="1" containsNumber="1" minValue="2543" maxValue="2546.6999999999998"/>
    </cacheField>
    <cacheField name="Profundidad tubo No 1" numFmtId="0">
      <sharedItems containsBlank="1" containsMixedTypes="1" containsNumber="1" minValue="2.1199999999998909" maxValue="6.6199999999998909"/>
    </cacheField>
    <cacheField name="Profundidad tubo No 2" numFmtId="0">
      <sharedItems containsBlank="1" containsMixedTypes="1" containsNumber="1" minValue="2.1199999999998909" maxValue="6.619999999999890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owner" refreshedDate="43488.435050231485" createdVersion="6" refreshedVersion="6" minRefreshableVersion="3" recordCount="169">
  <cacheSource type="worksheet">
    <worksheetSource ref="G3:I172" sheet="calc cant"/>
  </cacheSource>
  <cacheFields count="3">
    <cacheField name="Diametro" numFmtId="0">
      <sharedItems containsBlank="1" containsMixedTypes="1" containsNumber="1" containsInteger="1" minValue="8" maxValue="27" count="11">
        <s v="Pulg"/>
        <m/>
        <n v="12"/>
        <n v="24" u="1"/>
        <n v="27" u="1"/>
        <n v="14" u="1"/>
        <n v="16" u="1"/>
        <n v="8" u="1"/>
        <n v="18" u="1"/>
        <n v="20" u="1"/>
        <n v="10" u="1"/>
      </sharedItems>
    </cacheField>
    <cacheField name="Diametro_x000a_Interior" numFmtId="0">
      <sharedItems containsBlank="1" containsMixedTypes="1" containsNumber="1" minValue="0.30000000000000004" maxValue="0.30000000000000004"/>
    </cacheField>
    <cacheField name="Longitud" numFmtId="0">
      <sharedItems containsBlank="1" containsMixedTypes="1" containsNumber="1" minValue="39.880000000000003" maxValue="376.6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9">
  <r>
    <x v="0"/>
    <s v="mm"/>
    <s v="m"/>
    <s v="%"/>
    <m/>
    <s v="Inicial"/>
    <s v="Final"/>
    <s v="Inicial"/>
    <s v="Final"/>
    <s v="Inicial"/>
    <s v="Final"/>
    <s v="Inicial"/>
    <s v="Final"/>
  </r>
  <r>
    <x v="1"/>
    <m/>
    <m/>
    <m/>
    <m/>
    <m/>
    <m/>
    <m/>
    <m/>
    <m/>
    <m/>
    <m/>
    <m/>
  </r>
  <r>
    <x v="2"/>
    <n v="0.4"/>
    <n v="90"/>
    <n v="0.11"/>
    <m/>
    <n v="2541.08"/>
    <n v="2540.98"/>
    <n v="2541.48"/>
    <n v="2541.38"/>
    <n v="2543.48"/>
    <n v="2543.14"/>
    <n v="2.4000000000000909"/>
    <n v="2.1599999999998545"/>
  </r>
  <r>
    <x v="2"/>
    <n v="0.4"/>
    <n v="90"/>
    <n v="0.11"/>
    <m/>
    <n v="2540.98"/>
    <n v="2540.88"/>
    <n v="2541.38"/>
    <n v="2541.2800000000002"/>
    <n v="2543.14"/>
    <n v="2543"/>
    <n v="2.1599999999998545"/>
    <n v="2.1199999999998909"/>
  </r>
  <r>
    <x v="2"/>
    <n v="0.4"/>
    <n v="65.22"/>
    <n v="0.11"/>
    <m/>
    <n v="2540.88"/>
    <n v="2540.7999999999997"/>
    <n v="2541.27"/>
    <n v="2541.1999999999998"/>
    <n v="2543"/>
    <n v="2543"/>
    <n v="2.1199999999998909"/>
    <n v="2.2000000000002728"/>
  </r>
  <r>
    <x v="2"/>
    <n v="0.4"/>
    <n v="90"/>
    <n v="0.11"/>
    <m/>
    <n v="2540.7999999999997"/>
    <n v="2540.6999999999998"/>
    <n v="2541.1999999999998"/>
    <n v="2541.1"/>
    <n v="2543"/>
    <n v="2543"/>
    <n v="2.2000000000002728"/>
    <n v="2.3000000000001819"/>
  </r>
  <r>
    <x v="2"/>
    <n v="0.4"/>
    <n v="90"/>
    <n v="0.11"/>
    <m/>
    <n v="2540.6999999999998"/>
    <n v="2540.6"/>
    <n v="2541.1"/>
    <n v="2541"/>
    <n v="2543"/>
    <n v="2543"/>
    <n v="2.3000000000001819"/>
    <n v="2.4000000000000909"/>
  </r>
  <r>
    <x v="2"/>
    <n v="0.4"/>
    <n v="90"/>
    <n v="0.11"/>
    <m/>
    <n v="2540.6"/>
    <n v="2540.4899999999998"/>
    <n v="2540.9899999999998"/>
    <n v="2540.89"/>
    <n v="2543"/>
    <n v="2545.1999999999998"/>
    <n v="2.4000000000000909"/>
    <n v="4.7100000000000364"/>
  </r>
  <r>
    <x v="2"/>
    <n v="0.4"/>
    <n v="90"/>
    <n v="0.11"/>
    <m/>
    <n v="2540.4899999999998"/>
    <n v="2540.39"/>
    <n v="2540.89"/>
    <n v="2540.79"/>
    <n v="2545.1999999999998"/>
    <n v="2546.6"/>
    <n v="4.7100000000000364"/>
    <n v="6.2100000000000364"/>
  </r>
  <r>
    <x v="2"/>
    <n v="0.4"/>
    <n v="90"/>
    <n v="0.11"/>
    <m/>
    <n v="2540.39"/>
    <n v="2540.29"/>
    <n v="2540.79"/>
    <n v="2540.69"/>
    <n v="2546.6"/>
    <n v="2546"/>
    <n v="6.2100000000000364"/>
    <n v="5.7100000000000364"/>
  </r>
  <r>
    <x v="2"/>
    <n v="0.4"/>
    <n v="90"/>
    <n v="0.11"/>
    <m/>
    <n v="2540.29"/>
    <n v="2540.1799999999998"/>
    <n v="2540.6799999999998"/>
    <n v="2540.58"/>
    <n v="2546"/>
    <n v="2545.9"/>
    <n v="5.7100000000000364"/>
    <n v="5.7200000000002547"/>
  </r>
  <r>
    <x v="2"/>
    <n v="0.4"/>
    <n v="90"/>
    <n v="0.11"/>
    <m/>
    <n v="2540.1799999999998"/>
    <n v="2540.08"/>
    <n v="2540.58"/>
    <n v="2540.48"/>
    <n v="2545.9"/>
    <n v="2546.6999999999998"/>
    <n v="5.7200000000002547"/>
    <n v="6.6199999999998909"/>
  </r>
  <r>
    <x v="2"/>
    <n v="0.4"/>
    <n v="90"/>
    <n v="0.11"/>
    <m/>
    <n v="2540.08"/>
    <n v="2539.98"/>
    <n v="2540.48"/>
    <n v="2540.38"/>
    <n v="2546.6999999999998"/>
    <n v="2543.3000000000002"/>
    <n v="6.6199999999998909"/>
    <n v="3.3200000000001637"/>
  </r>
  <r>
    <x v="2"/>
    <n v="0.4"/>
    <n v="65"/>
    <n v="0.11"/>
    <m/>
    <n v="2539.98"/>
    <n v="2539.9"/>
    <n v="2540.37"/>
    <n v="2540.3000000000002"/>
    <n v="2543.3000000000002"/>
    <n v="2544.6"/>
    <n v="3.3200000000001637"/>
    <n v="4.6999999999998181"/>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r>
    <x v="1"/>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9">
  <r>
    <x v="0"/>
    <s v="mm"/>
    <s v="m"/>
  </r>
  <r>
    <x v="1"/>
    <m/>
    <m/>
  </r>
  <r>
    <x v="2"/>
    <n v="0.30000000000000004"/>
    <n v="212.4"/>
  </r>
  <r>
    <x v="2"/>
    <n v="0.30000000000000004"/>
    <n v="39.880000000000003"/>
  </r>
  <r>
    <x v="2"/>
    <n v="0.30000000000000004"/>
    <n v="130.04"/>
  </r>
  <r>
    <x v="2"/>
    <n v="0.30000000000000004"/>
    <n v="376.68"/>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r>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pageOverThenDown="1" itemPrintTitles="1" createdVersion="6" indent="0" outline="1" outlineData="1" multipleFieldFilters="0" fieldListSortAscending="1">
  <location ref="E342:F344" firstHeaderRow="1" firstDataRow="1" firstDataCol="1"/>
  <pivotFields count="3">
    <pivotField axis="axisRow" showAll="0">
      <items count="12">
        <item x="2"/>
        <item m="1" x="5"/>
        <item m="1" x="6"/>
        <item m="1" x="8"/>
        <item m="1" x="9"/>
        <item h="1" x="0"/>
        <item h="1" x="1"/>
        <item m="1" x="3"/>
        <item m="1" x="7"/>
        <item m="1" x="10"/>
        <item m="1" x="4"/>
        <item t="default"/>
      </items>
    </pivotField>
    <pivotField showAll="0"/>
    <pivotField dataField="1" showAll="0"/>
  </pivotFields>
  <rowFields count="1">
    <field x="0"/>
  </rowFields>
  <rowItems count="2">
    <i>
      <x/>
    </i>
    <i t="grand">
      <x/>
    </i>
  </rowItems>
  <colItems count="1">
    <i/>
  </colItems>
  <dataFields count="1">
    <dataField name="Suma de Longitud" fld="2" baseField="0" baseItem="0"/>
  </dataFields>
  <formats count="8">
    <format dxfId="7">
      <pivotArea collapsedLevelsAreSubtotals="1" fieldPosition="0">
        <references count="1">
          <reference field="0" count="0"/>
        </references>
      </pivotArea>
    </format>
    <format dxfId="6">
      <pivotArea dataOnly="0" labelOnly="1" fieldPosition="0">
        <references count="1">
          <reference field="0" count="0"/>
        </references>
      </pivotArea>
    </format>
    <format dxfId="5">
      <pivotArea collapsedLevelsAreSubtotals="1" fieldPosition="0">
        <references count="1">
          <reference field="0" count="0"/>
        </references>
      </pivotArea>
    </format>
    <format dxfId="4">
      <pivotArea dataOnly="0" labelOnly="1" fieldPosition="0">
        <references count="1">
          <reference field="0" count="0"/>
        </references>
      </pivotArea>
    </format>
    <format dxfId="3">
      <pivotArea collapsedLevelsAreSubtotals="1" fieldPosition="0">
        <references count="1">
          <reference field="0" count="0"/>
        </references>
      </pivotArea>
    </format>
    <format dxfId="2">
      <pivotArea grandRow="1" outline="0" collapsedLevelsAreSubtotals="1" fieldPosition="0"/>
    </format>
    <format dxfId="1">
      <pivotArea grandRow="1" outline="0" collapsedLevelsAreSubtotals="1" fieldPosition="0"/>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K342:L344" firstHeaderRow="1" firstDataRow="1" firstDataCol="1"/>
  <pivotFields count="13">
    <pivotField axis="axisRow" showAll="0">
      <items count="12">
        <item m="1" x="4"/>
        <item m="1" x="6"/>
        <item x="2"/>
        <item m="1" x="8"/>
        <item m="1" x="9"/>
        <item h="1" x="0"/>
        <item h="1" x="1"/>
        <item m="1" x="3"/>
        <item m="1" x="7"/>
        <item h="1" m="1" x="10"/>
        <item h="1" m="1" x="5"/>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s>
  <rowFields count="1">
    <field x="0"/>
  </rowFields>
  <rowItems count="2">
    <i>
      <x v="2"/>
    </i>
    <i t="grand">
      <x/>
    </i>
  </rowItems>
  <colItems count="1">
    <i/>
  </colItems>
  <dataFields count="1">
    <dataField name="Suma de Profundidad tubo No 1" fld="11" baseField="0" baseItem="0"/>
  </dataFields>
  <formats count="6">
    <format dxfId="13">
      <pivotArea collapsedLevelsAreSubtotals="1" fieldPosition="0">
        <references count="1">
          <reference field="0" count="0"/>
        </references>
      </pivotArea>
    </format>
    <format dxfId="12">
      <pivotArea collapsedLevelsAreSubtotals="1" fieldPosition="0">
        <references count="1">
          <reference field="0" count="0"/>
        </references>
      </pivotArea>
    </format>
    <format dxfId="11">
      <pivotArea dataOnly="0" labelOnly="1" fieldPosition="0">
        <references count="1">
          <reference field="0" count="0"/>
        </references>
      </pivotArea>
    </format>
    <format dxfId="10">
      <pivotArea grandRow="1" outline="0" collapsedLevelsAreSubtotals="1" fieldPosition="0"/>
    </format>
    <format dxfId="9">
      <pivotArea grandRow="1" outline="0" collapsedLevelsAreSubtotals="1" fieldPosition="0"/>
    </format>
    <format dxfId="8">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3" cacheId="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H342:I344" firstHeaderRow="1" firstDataRow="1" firstDataCol="1"/>
  <pivotFields count="3">
    <pivotField axis="axisRow" dataField="1" showAll="0">
      <items count="12">
        <item x="2"/>
        <item m="1" x="5"/>
        <item m="1" x="6"/>
        <item m="1" x="8"/>
        <item m="1" x="9"/>
        <item h="1" x="0"/>
        <item h="1" x="1"/>
        <item m="1" x="3"/>
        <item m="1" x="7"/>
        <item h="1" m="1" x="10"/>
        <item h="1" m="1" x="4"/>
        <item t="default"/>
      </items>
    </pivotField>
    <pivotField showAll="0"/>
    <pivotField showAll="0"/>
  </pivotFields>
  <rowFields count="1">
    <field x="0"/>
  </rowFields>
  <rowItems count="2">
    <i>
      <x/>
    </i>
    <i t="grand">
      <x/>
    </i>
  </rowItems>
  <colItems count="1">
    <i/>
  </colItems>
  <dataFields count="1">
    <dataField name="Cuenta de Diametro" fld="0" subtotal="count" baseField="0" baseItem="0"/>
  </dataFields>
  <formats count="4">
    <format dxfId="17">
      <pivotArea collapsedLevelsAreSubtotals="1" fieldPosition="0">
        <references count="1">
          <reference field="0" count="0"/>
        </references>
      </pivotArea>
    </format>
    <format dxfId="16">
      <pivotArea dataOnly="0" labelOnly="1" fieldPosition="0">
        <references count="1">
          <reference field="0" count="0"/>
        </references>
      </pivotArea>
    </format>
    <format dxfId="15">
      <pivotArea dataOnly="0" labelOnly="1" fieldPosition="0">
        <references count="1">
          <reference field="0" count="0"/>
        </references>
      </pivotArea>
    </format>
    <format dxfId="14">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N28"/>
  <sheetViews>
    <sheetView showGridLines="0" view="pageBreakPreview" topLeftCell="A19" zoomScale="70" zoomScaleNormal="70" zoomScaleSheetLayoutView="70" workbookViewId="0">
      <selection activeCell="B27" sqref="B27:K27"/>
    </sheetView>
  </sheetViews>
  <sheetFormatPr baseColWidth="10" defaultRowHeight="15" x14ac:dyDescent="0.25"/>
  <cols>
    <col min="1" max="1" width="4.7109375" style="165" customWidth="1"/>
    <col min="2" max="2" width="11.42578125" style="165"/>
    <col min="3" max="3" width="28.5703125" style="165" customWidth="1"/>
    <col min="4" max="4" width="15.7109375" style="165" customWidth="1"/>
    <col min="5" max="5" width="43.5703125" style="165" customWidth="1"/>
    <col min="6" max="6" width="15.140625" style="165" customWidth="1"/>
    <col min="7" max="7" width="13.28515625" style="165" customWidth="1"/>
    <col min="8" max="8" width="17" style="165" customWidth="1"/>
    <col min="9" max="9" width="16.5703125" style="165" customWidth="1"/>
    <col min="10" max="10" width="17.28515625" style="165" customWidth="1"/>
    <col min="11" max="12" width="23.140625" style="165" customWidth="1"/>
    <col min="13" max="13" width="17" style="165" customWidth="1"/>
    <col min="14" max="14" width="16.85546875" style="165" customWidth="1"/>
    <col min="15" max="15" width="4.85546875" style="165" customWidth="1"/>
    <col min="16" max="16384" width="11.42578125" style="165"/>
  </cols>
  <sheetData>
    <row r="10" spans="2:14" x14ac:dyDescent="0.25">
      <c r="B10" s="386" t="s">
        <v>643</v>
      </c>
      <c r="C10" s="386"/>
      <c r="D10" s="386"/>
      <c r="E10" s="386"/>
      <c r="F10" s="386"/>
      <c r="G10" s="386"/>
      <c r="H10" s="386"/>
      <c r="I10" s="386"/>
      <c r="J10" s="386"/>
      <c r="K10" s="386"/>
      <c r="L10" s="386"/>
      <c r="M10" s="386"/>
      <c r="N10" s="386"/>
    </row>
    <row r="11" spans="2:14" ht="15" customHeight="1" x14ac:dyDescent="0.25">
      <c r="B11" s="386" t="s">
        <v>637</v>
      </c>
      <c r="C11" s="386"/>
      <c r="D11" s="386"/>
      <c r="E11" s="386"/>
      <c r="F11" s="386"/>
      <c r="G11" s="386"/>
      <c r="H11" s="386"/>
      <c r="I11" s="386"/>
      <c r="J11" s="386"/>
      <c r="K11" s="386"/>
      <c r="L11" s="386"/>
      <c r="M11" s="386"/>
      <c r="N11" s="386"/>
    </row>
    <row r="12" spans="2:14" ht="15" customHeight="1" x14ac:dyDescent="0.25">
      <c r="B12" s="386" t="str">
        <f>+Resumen!B7</f>
        <v>C.PU.- EMSERCOTA-002-2019</v>
      </c>
      <c r="C12" s="386"/>
      <c r="D12" s="386"/>
      <c r="E12" s="386"/>
      <c r="F12" s="386"/>
      <c r="G12" s="386"/>
      <c r="H12" s="386"/>
      <c r="I12" s="386"/>
      <c r="J12" s="386"/>
      <c r="K12" s="386"/>
      <c r="L12" s="386"/>
      <c r="M12" s="386"/>
      <c r="N12" s="386"/>
    </row>
    <row r="13" spans="2:14" ht="36" customHeight="1" x14ac:dyDescent="0.25">
      <c r="B13" s="386" t="str">
        <f>+Resumen!B8</f>
        <v>REALIZAR LA CONSTRUCCION DE LA INFRAESTRUCTURA PARA EL ABASTECIMIENTO DE AGUA POTABLE MEDIANTE LA INTERCONEXIÓN AL SISTEMA DE ACUEDUCTO OPERADO POR LA EMPRESA DE ACUEDUCTO DE BOGOTÁ SA E.S.P. AL MUNICIPIO DE COTA – PRIMERA ETAPA</v>
      </c>
      <c r="C13" s="386"/>
      <c r="D13" s="386"/>
      <c r="E13" s="386"/>
      <c r="F13" s="386"/>
      <c r="G13" s="386"/>
      <c r="H13" s="386"/>
      <c r="I13" s="386"/>
      <c r="J13" s="386"/>
      <c r="K13" s="386"/>
      <c r="L13" s="386"/>
      <c r="M13" s="386"/>
      <c r="N13" s="386"/>
    </row>
    <row r="16" spans="2:14" s="372" customFormat="1" ht="49.5" customHeight="1" x14ac:dyDescent="0.25">
      <c r="B16" s="370" t="s">
        <v>623</v>
      </c>
      <c r="C16" s="370" t="s">
        <v>624</v>
      </c>
      <c r="D16" s="371" t="s">
        <v>625</v>
      </c>
      <c r="E16" s="371" t="s">
        <v>626</v>
      </c>
      <c r="F16" s="371" t="s">
        <v>627</v>
      </c>
      <c r="G16" s="371" t="s">
        <v>628</v>
      </c>
      <c r="H16" s="371" t="s">
        <v>629</v>
      </c>
      <c r="I16" s="371" t="s">
        <v>630</v>
      </c>
      <c r="J16" s="371" t="s">
        <v>631</v>
      </c>
      <c r="K16" s="371" t="s">
        <v>632</v>
      </c>
      <c r="L16" s="371" t="s">
        <v>632</v>
      </c>
      <c r="M16" s="370" t="s">
        <v>638</v>
      </c>
      <c r="N16" s="370" t="s">
        <v>639</v>
      </c>
    </row>
    <row r="17" spans="2:14" x14ac:dyDescent="0.25">
      <c r="B17" s="373"/>
      <c r="C17" s="373"/>
      <c r="D17" s="374"/>
      <c r="E17" s="374"/>
      <c r="F17" s="374"/>
      <c r="G17" s="374"/>
      <c r="H17" s="374"/>
      <c r="I17" s="374"/>
      <c r="J17" s="374"/>
      <c r="K17" s="375" t="s">
        <v>633</v>
      </c>
      <c r="L17" s="375" t="s">
        <v>634</v>
      </c>
      <c r="M17" s="373"/>
      <c r="N17" s="373"/>
    </row>
    <row r="18" spans="2:14" s="201" customFormat="1" ht="39.75" customHeight="1" x14ac:dyDescent="0.25">
      <c r="B18" s="376">
        <v>1</v>
      </c>
      <c r="C18" s="376"/>
      <c r="D18" s="376"/>
      <c r="E18" s="377"/>
      <c r="F18" s="377"/>
      <c r="G18" s="376"/>
      <c r="H18" s="378"/>
      <c r="I18" s="379"/>
      <c r="J18" s="379"/>
      <c r="K18" s="380"/>
      <c r="L18" s="381"/>
      <c r="M18" s="382"/>
      <c r="N18" s="376"/>
    </row>
    <row r="19" spans="2:14" ht="39.75" customHeight="1" x14ac:dyDescent="0.25">
      <c r="B19" s="376">
        <v>2</v>
      </c>
      <c r="C19" s="376"/>
      <c r="D19" s="376"/>
      <c r="E19" s="377"/>
      <c r="F19" s="377"/>
      <c r="G19" s="376"/>
      <c r="H19" s="378"/>
      <c r="I19" s="379"/>
      <c r="J19" s="379"/>
      <c r="K19" s="380"/>
      <c r="L19" s="381"/>
      <c r="M19" s="382"/>
      <c r="N19" s="376"/>
    </row>
    <row r="20" spans="2:14" ht="39.75" customHeight="1" x14ac:dyDescent="0.25">
      <c r="B20" s="376">
        <v>3</v>
      </c>
      <c r="C20" s="376"/>
      <c r="D20" s="377"/>
      <c r="E20" s="377"/>
      <c r="F20" s="377"/>
      <c r="G20" s="376"/>
      <c r="H20" s="378"/>
      <c r="I20" s="379"/>
      <c r="J20" s="379"/>
      <c r="K20" s="380"/>
      <c r="L20" s="381"/>
      <c r="M20" s="382"/>
      <c r="N20" s="376"/>
    </row>
    <row r="21" spans="2:14" ht="39.75" customHeight="1" x14ac:dyDescent="0.25">
      <c r="B21" s="376">
        <v>4</v>
      </c>
      <c r="C21" s="383"/>
      <c r="D21" s="383"/>
      <c r="E21" s="383"/>
      <c r="F21" s="383"/>
      <c r="G21" s="383"/>
      <c r="H21" s="383"/>
      <c r="I21" s="383"/>
      <c r="J21" s="383"/>
      <c r="K21" s="383"/>
      <c r="L21" s="383"/>
      <c r="M21" s="383"/>
      <c r="N21" s="383"/>
    </row>
    <row r="22" spans="2:14" ht="39.75" customHeight="1" x14ac:dyDescent="0.25">
      <c r="B22" s="376">
        <v>5</v>
      </c>
      <c r="C22" s="383"/>
      <c r="D22" s="383"/>
      <c r="E22" s="383"/>
      <c r="F22" s="383"/>
      <c r="G22" s="383"/>
      <c r="H22" s="383"/>
      <c r="I22" s="383"/>
      <c r="J22" s="383"/>
      <c r="K22" s="383"/>
      <c r="L22" s="383"/>
      <c r="M22" s="383"/>
      <c r="N22" s="383"/>
    </row>
    <row r="24" spans="2:14" x14ac:dyDescent="0.25">
      <c r="B24" s="165" t="s">
        <v>635</v>
      </c>
    </row>
    <row r="26" spans="2:14" x14ac:dyDescent="0.25">
      <c r="B26" s="165" t="s">
        <v>636</v>
      </c>
    </row>
    <row r="27" spans="2:14" ht="33.75" customHeight="1" x14ac:dyDescent="0.25">
      <c r="B27" s="387" t="s">
        <v>645</v>
      </c>
      <c r="C27" s="387"/>
      <c r="D27" s="387"/>
      <c r="E27" s="387"/>
      <c r="F27" s="387"/>
      <c r="G27" s="387"/>
      <c r="H27" s="387"/>
      <c r="I27" s="387"/>
      <c r="J27" s="387"/>
      <c r="K27" s="387"/>
    </row>
    <row r="28" spans="2:14" ht="18.75" customHeight="1" x14ac:dyDescent="0.25">
      <c r="B28" s="387" t="s">
        <v>640</v>
      </c>
      <c r="C28" s="387"/>
      <c r="D28" s="387"/>
      <c r="E28" s="387"/>
      <c r="F28" s="387"/>
      <c r="G28" s="387"/>
      <c r="H28" s="387"/>
      <c r="I28" s="387"/>
      <c r="J28" s="387"/>
      <c r="K28" s="387"/>
    </row>
  </sheetData>
  <mergeCells count="6">
    <mergeCell ref="B10:N10"/>
    <mergeCell ref="B11:N11"/>
    <mergeCell ref="B13:N13"/>
    <mergeCell ref="B27:K27"/>
    <mergeCell ref="B28:K28"/>
    <mergeCell ref="B12:N12"/>
  </mergeCells>
  <printOptions horizontalCentered="1"/>
  <pageMargins left="0.23622047244094491" right="0.23622047244094491" top="0.74803149606299213" bottom="0.74803149606299213" header="0.31496062992125984" footer="0.31496062992125984"/>
  <pageSetup paperSize="173" scale="5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2"/>
  <sheetViews>
    <sheetView view="pageBreakPreview" topLeftCell="A1299" zoomScale="70" zoomScaleNormal="100" zoomScaleSheetLayoutView="70" workbookViewId="0">
      <selection activeCell="H999" sqref="H999"/>
    </sheetView>
  </sheetViews>
  <sheetFormatPr baseColWidth="10" defaultColWidth="11.42578125" defaultRowHeight="14.25" x14ac:dyDescent="0.2"/>
  <cols>
    <col min="1" max="1" width="42.5703125" style="47" bestFit="1" customWidth="1"/>
    <col min="2" max="2" width="11.42578125" style="47"/>
    <col min="3" max="3" width="17.28515625" style="47" customWidth="1"/>
    <col min="4" max="4" width="18" style="47" customWidth="1"/>
    <col min="5" max="5" width="27.140625" style="47" bestFit="1" customWidth="1"/>
    <col min="6" max="6" width="20.42578125" style="47" bestFit="1" customWidth="1"/>
    <col min="7" max="16384" width="11.42578125" style="47"/>
  </cols>
  <sheetData>
    <row r="1" spans="1:7" x14ac:dyDescent="0.2">
      <c r="A1" s="41" t="s">
        <v>153</v>
      </c>
      <c r="B1" s="42" t="s">
        <v>29</v>
      </c>
      <c r="C1" s="43"/>
      <c r="D1" s="44"/>
      <c r="E1" s="45"/>
      <c r="F1" s="46"/>
    </row>
    <row r="2" spans="1:7" ht="15" customHeight="1" x14ac:dyDescent="0.2">
      <c r="A2" s="48" t="s">
        <v>154</v>
      </c>
      <c r="B2" s="403" t="s">
        <v>215</v>
      </c>
      <c r="C2" s="404"/>
      <c r="D2" s="404"/>
      <c r="E2" s="404"/>
      <c r="F2" s="405"/>
      <c r="G2" s="49">
        <v>1</v>
      </c>
    </row>
    <row r="3" spans="1:7" ht="15" thickBot="1" x14ac:dyDescent="0.25">
      <c r="A3" s="50" t="s">
        <v>156</v>
      </c>
      <c r="B3" s="51" t="s">
        <v>33</v>
      </c>
      <c r="C3" s="52"/>
      <c r="D3" s="53"/>
      <c r="E3" s="52"/>
      <c r="F3" s="54"/>
    </row>
    <row r="4" spans="1:7" x14ac:dyDescent="0.2">
      <c r="A4" s="55" t="s">
        <v>157</v>
      </c>
      <c r="B4" s="56"/>
      <c r="C4" s="57"/>
      <c r="D4" s="58"/>
      <c r="E4" s="59"/>
      <c r="F4" s="60"/>
    </row>
    <row r="5" spans="1:7" x14ac:dyDescent="0.2">
      <c r="A5" s="61" t="s">
        <v>158</v>
      </c>
      <c r="B5" s="62" t="s">
        <v>159</v>
      </c>
      <c r="C5" s="406" t="s">
        <v>160</v>
      </c>
      <c r="D5" s="407"/>
      <c r="E5" s="63" t="s">
        <v>161</v>
      </c>
      <c r="F5" s="64" t="s">
        <v>162</v>
      </c>
    </row>
    <row r="6" spans="1:7" x14ac:dyDescent="0.2">
      <c r="A6" s="65">
        <v>0</v>
      </c>
      <c r="B6" s="66">
        <v>0</v>
      </c>
      <c r="C6" s="67">
        <v>0</v>
      </c>
      <c r="D6" s="68"/>
      <c r="E6" s="69"/>
      <c r="F6" s="70"/>
    </row>
    <row r="7" spans="1:7" x14ac:dyDescent="0.2">
      <c r="A7" s="65">
        <v>0</v>
      </c>
      <c r="B7" s="66">
        <v>0</v>
      </c>
      <c r="C7" s="67">
        <v>0</v>
      </c>
      <c r="D7" s="68"/>
      <c r="E7" s="69"/>
      <c r="F7" s="70"/>
    </row>
    <row r="8" spans="1:7" x14ac:dyDescent="0.2">
      <c r="A8" s="65">
        <v>0</v>
      </c>
      <c r="B8" s="66">
        <v>0</v>
      </c>
      <c r="C8" s="67">
        <v>0</v>
      </c>
      <c r="D8" s="68"/>
      <c r="E8" s="71"/>
      <c r="F8" s="70"/>
    </row>
    <row r="9" spans="1:7" x14ac:dyDescent="0.2">
      <c r="A9" s="65">
        <v>0</v>
      </c>
      <c r="B9" s="66">
        <v>0</v>
      </c>
      <c r="C9" s="67">
        <v>0</v>
      </c>
      <c r="D9" s="68"/>
      <c r="E9" s="71"/>
      <c r="F9" s="70"/>
    </row>
    <row r="10" spans="1:7" ht="15" x14ac:dyDescent="0.25">
      <c r="A10" s="72"/>
      <c r="B10" s="73"/>
      <c r="C10" s="408" t="s">
        <v>163</v>
      </c>
      <c r="D10" s="408"/>
      <c r="E10" s="409"/>
      <c r="F10" s="74">
        <f>SUM(F6:F9)</f>
        <v>0</v>
      </c>
    </row>
    <row r="11" spans="1:7" x14ac:dyDescent="0.2">
      <c r="A11" s="75" t="s">
        <v>164</v>
      </c>
      <c r="B11" s="76"/>
      <c r="C11" s="76"/>
      <c r="D11" s="77"/>
      <c r="E11" s="78"/>
      <c r="F11" s="79"/>
    </row>
    <row r="12" spans="1:7" x14ac:dyDescent="0.2">
      <c r="A12" s="61" t="s">
        <v>158</v>
      </c>
      <c r="B12" s="62" t="s">
        <v>159</v>
      </c>
      <c r="C12" s="406" t="s">
        <v>7</v>
      </c>
      <c r="D12" s="407"/>
      <c r="E12" s="63" t="s">
        <v>165</v>
      </c>
      <c r="F12" s="64" t="s">
        <v>162</v>
      </c>
    </row>
    <row r="13" spans="1:7" x14ac:dyDescent="0.2">
      <c r="A13" s="80" t="s">
        <v>31</v>
      </c>
      <c r="B13" s="66" t="s">
        <v>33</v>
      </c>
      <c r="C13" s="81">
        <v>1</v>
      </c>
      <c r="D13" s="82"/>
      <c r="E13" s="83">
        <f>+Lista_prec_base!C8</f>
        <v>25387</v>
      </c>
      <c r="F13" s="84">
        <f>+E13*C13</f>
        <v>25387</v>
      </c>
    </row>
    <row r="14" spans="1:7" x14ac:dyDescent="0.2">
      <c r="A14" s="85">
        <v>0</v>
      </c>
      <c r="B14" s="66">
        <v>0</v>
      </c>
      <c r="C14" s="86"/>
      <c r="D14" s="82"/>
      <c r="E14" s="83">
        <v>0</v>
      </c>
      <c r="F14" s="84">
        <v>0</v>
      </c>
    </row>
    <row r="15" spans="1:7" x14ac:dyDescent="0.2">
      <c r="A15" s="65">
        <v>0</v>
      </c>
      <c r="B15" s="66">
        <v>0</v>
      </c>
      <c r="C15" s="87"/>
      <c r="D15" s="82"/>
      <c r="E15" s="83">
        <v>0</v>
      </c>
      <c r="F15" s="84">
        <v>0</v>
      </c>
    </row>
    <row r="16" spans="1:7" x14ac:dyDescent="0.2">
      <c r="A16" s="65">
        <v>0</v>
      </c>
      <c r="B16" s="66">
        <v>0</v>
      </c>
      <c r="C16" s="87"/>
      <c r="D16" s="82"/>
      <c r="E16" s="83">
        <v>0</v>
      </c>
      <c r="F16" s="84">
        <v>0</v>
      </c>
    </row>
    <row r="17" spans="1:6" x14ac:dyDescent="0.2">
      <c r="A17" s="65">
        <v>0</v>
      </c>
      <c r="B17" s="66">
        <v>0</v>
      </c>
      <c r="C17" s="87"/>
      <c r="D17" s="82"/>
      <c r="E17" s="83">
        <v>0</v>
      </c>
      <c r="F17" s="84">
        <v>0</v>
      </c>
    </row>
    <row r="18" spans="1:6" ht="15" x14ac:dyDescent="0.25">
      <c r="A18" s="72"/>
      <c r="B18" s="73"/>
      <c r="C18" s="408" t="s">
        <v>167</v>
      </c>
      <c r="D18" s="408"/>
      <c r="E18" s="409"/>
      <c r="F18" s="74">
        <f>+F13</f>
        <v>25387</v>
      </c>
    </row>
    <row r="19" spans="1:6" x14ac:dyDescent="0.2">
      <c r="A19" s="72" t="s">
        <v>168</v>
      </c>
      <c r="B19" s="73"/>
      <c r="C19" s="73"/>
      <c r="D19" s="88"/>
      <c r="E19" s="89"/>
      <c r="F19" s="90"/>
    </row>
    <row r="20" spans="1:6" x14ac:dyDescent="0.2">
      <c r="A20" s="61" t="s">
        <v>158</v>
      </c>
      <c r="B20" s="62" t="s">
        <v>159</v>
      </c>
      <c r="C20" s="62" t="s">
        <v>169</v>
      </c>
      <c r="D20" s="91" t="s">
        <v>170</v>
      </c>
      <c r="E20" s="63"/>
      <c r="F20" s="64" t="s">
        <v>171</v>
      </c>
    </row>
    <row r="21" spans="1:6" x14ac:dyDescent="0.2">
      <c r="A21" s="65">
        <v>0</v>
      </c>
      <c r="B21" s="92">
        <v>0</v>
      </c>
      <c r="C21" s="93"/>
      <c r="D21" s="94"/>
      <c r="E21" s="95"/>
      <c r="F21" s="70"/>
    </row>
    <row r="22" spans="1:6" x14ac:dyDescent="0.2">
      <c r="A22" s="65">
        <v>0</v>
      </c>
      <c r="B22" s="92">
        <v>0</v>
      </c>
      <c r="C22" s="93"/>
      <c r="D22" s="94">
        <v>0</v>
      </c>
      <c r="E22" s="96"/>
      <c r="F22" s="97">
        <v>0</v>
      </c>
    </row>
    <row r="23" spans="1:6" x14ac:dyDescent="0.2">
      <c r="A23" s="65">
        <v>0</v>
      </c>
      <c r="B23" s="92">
        <v>0</v>
      </c>
      <c r="C23" s="93"/>
      <c r="D23" s="94">
        <v>0</v>
      </c>
      <c r="E23" s="96"/>
      <c r="F23" s="97">
        <v>0</v>
      </c>
    </row>
    <row r="24" spans="1:6" ht="15" x14ac:dyDescent="0.25">
      <c r="A24" s="72"/>
      <c r="B24" s="73"/>
      <c r="C24" s="408" t="s">
        <v>172</v>
      </c>
      <c r="D24" s="408"/>
      <c r="E24" s="409"/>
      <c r="F24" s="74"/>
    </row>
    <row r="25" spans="1:6" x14ac:dyDescent="0.2">
      <c r="A25" s="75" t="s">
        <v>173</v>
      </c>
      <c r="B25" s="76"/>
      <c r="C25" s="76"/>
      <c r="D25" s="77"/>
      <c r="E25" s="78"/>
      <c r="F25" s="79"/>
    </row>
    <row r="26" spans="1:6" x14ac:dyDescent="0.2">
      <c r="A26" s="61" t="s">
        <v>158</v>
      </c>
      <c r="B26" s="62" t="s">
        <v>159</v>
      </c>
      <c r="C26" s="62" t="s">
        <v>174</v>
      </c>
      <c r="D26" s="98" t="s">
        <v>175</v>
      </c>
      <c r="E26" s="63" t="s">
        <v>165</v>
      </c>
      <c r="F26" s="64" t="s">
        <v>162</v>
      </c>
    </row>
    <row r="27" spans="1:6" x14ac:dyDescent="0.2">
      <c r="A27" s="65">
        <v>0</v>
      </c>
      <c r="B27" s="66">
        <v>0</v>
      </c>
      <c r="C27" s="99"/>
      <c r="D27" s="81"/>
      <c r="E27" s="83">
        <v>0</v>
      </c>
      <c r="F27" s="84">
        <v>0</v>
      </c>
    </row>
    <row r="28" spans="1:6" x14ac:dyDescent="0.2">
      <c r="A28" s="65">
        <v>0</v>
      </c>
      <c r="B28" s="66">
        <v>0</v>
      </c>
      <c r="C28" s="99"/>
      <c r="D28" s="81"/>
      <c r="E28" s="83">
        <v>0</v>
      </c>
      <c r="F28" s="84">
        <v>0</v>
      </c>
    </row>
    <row r="29" spans="1:6" ht="15" x14ac:dyDescent="0.25">
      <c r="A29" s="72"/>
      <c r="B29" s="73"/>
      <c r="C29" s="408" t="s">
        <v>176</v>
      </c>
      <c r="D29" s="408"/>
      <c r="E29" s="409"/>
      <c r="F29" s="74">
        <v>0</v>
      </c>
    </row>
    <row r="30" spans="1:6" ht="15" thickBot="1" x14ac:dyDescent="0.25">
      <c r="A30" s="75"/>
      <c r="B30" s="76"/>
      <c r="C30" s="76"/>
      <c r="D30" s="77"/>
      <c r="E30" s="78"/>
      <c r="F30" s="79"/>
    </row>
    <row r="31" spans="1:6" ht="15.75" thickBot="1" x14ac:dyDescent="0.3">
      <c r="A31" s="100" t="s">
        <v>177</v>
      </c>
      <c r="B31" s="101"/>
      <c r="C31" s="101"/>
      <c r="D31" s="101"/>
      <c r="E31" s="102"/>
      <c r="F31" s="103">
        <f>+F18</f>
        <v>25387</v>
      </c>
    </row>
    <row r="32" spans="1:6" ht="15" x14ac:dyDescent="0.25">
      <c r="A32" s="104" t="s">
        <v>178</v>
      </c>
      <c r="B32" s="105"/>
      <c r="C32" s="105"/>
      <c r="D32" s="105"/>
      <c r="E32" s="105"/>
      <c r="F32" s="106" t="s">
        <v>179</v>
      </c>
    </row>
    <row r="33" spans="1:7" x14ac:dyDescent="0.2">
      <c r="A33" s="413" t="s">
        <v>158</v>
      </c>
      <c r="B33" s="414"/>
      <c r="C33" s="414"/>
      <c r="D33" s="415"/>
      <c r="E33" s="107" t="s">
        <v>144</v>
      </c>
      <c r="F33" s="108"/>
    </row>
    <row r="34" spans="1:7" x14ac:dyDescent="0.2">
      <c r="A34" s="413" t="s">
        <v>180</v>
      </c>
      <c r="B34" s="414"/>
      <c r="C34" s="414"/>
      <c r="D34" s="415"/>
      <c r="E34" s="109">
        <v>0.18</v>
      </c>
      <c r="F34" s="108">
        <f>+E34*F31</f>
        <v>4569.66</v>
      </c>
    </row>
    <row r="35" spans="1:7" x14ac:dyDescent="0.2">
      <c r="A35" s="413" t="s">
        <v>181</v>
      </c>
      <c r="B35" s="414"/>
      <c r="C35" s="414"/>
      <c r="D35" s="415"/>
      <c r="E35" s="109"/>
      <c r="F35" s="108"/>
    </row>
    <row r="36" spans="1:7" x14ac:dyDescent="0.2">
      <c r="A36" s="413" t="s">
        <v>182</v>
      </c>
      <c r="B36" s="414"/>
      <c r="C36" s="414"/>
      <c r="D36" s="415"/>
      <c r="E36" s="109"/>
      <c r="F36" s="108"/>
    </row>
    <row r="37" spans="1:7" x14ac:dyDescent="0.2">
      <c r="A37" s="110" t="s">
        <v>183</v>
      </c>
      <c r="B37" s="111"/>
      <c r="C37" s="111"/>
      <c r="D37" s="111"/>
      <c r="E37" s="109">
        <v>0.16</v>
      </c>
      <c r="F37" s="108">
        <f>+E37*F31</f>
        <v>4061.92</v>
      </c>
    </row>
    <row r="38" spans="1:7" ht="15" x14ac:dyDescent="0.2">
      <c r="A38" s="112"/>
      <c r="B38" s="113"/>
      <c r="C38" s="113"/>
      <c r="D38" s="113"/>
      <c r="E38" s="114" t="s">
        <v>184</v>
      </c>
      <c r="F38" s="115">
        <f>+F34+F37</f>
        <v>8631.58</v>
      </c>
    </row>
    <row r="39" spans="1:7" ht="15.75" thickBot="1" x14ac:dyDescent="0.3">
      <c r="A39" s="416" t="s">
        <v>185</v>
      </c>
      <c r="B39" s="417"/>
      <c r="C39" s="417"/>
      <c r="D39" s="417"/>
      <c r="E39" s="418"/>
      <c r="F39" s="116">
        <f>ROUND(F31+F38,0)</f>
        <v>34019</v>
      </c>
    </row>
    <row r="40" spans="1:7" x14ac:dyDescent="0.2">
      <c r="A40" s="41" t="s">
        <v>153</v>
      </c>
      <c r="B40" s="42" t="s">
        <v>34</v>
      </c>
      <c r="C40" s="43"/>
      <c r="D40" s="44"/>
      <c r="E40" s="45"/>
      <c r="F40" s="46"/>
    </row>
    <row r="41" spans="1:7" ht="15" customHeight="1" x14ac:dyDescent="0.2">
      <c r="A41" s="48" t="s">
        <v>154</v>
      </c>
      <c r="B41" s="403" t="s">
        <v>155</v>
      </c>
      <c r="C41" s="404"/>
      <c r="D41" s="404"/>
      <c r="E41" s="404"/>
      <c r="F41" s="405"/>
      <c r="G41" s="49">
        <v>2</v>
      </c>
    </row>
    <row r="42" spans="1:7" ht="15" thickBot="1" x14ac:dyDescent="0.25">
      <c r="A42" s="50" t="s">
        <v>156</v>
      </c>
      <c r="B42" s="51" t="s">
        <v>33</v>
      </c>
      <c r="C42" s="52"/>
      <c r="D42" s="53"/>
      <c r="E42" s="52"/>
      <c r="F42" s="54"/>
    </row>
    <row r="43" spans="1:7" x14ac:dyDescent="0.2">
      <c r="A43" s="55" t="s">
        <v>157</v>
      </c>
      <c r="B43" s="56"/>
      <c r="C43" s="57"/>
      <c r="D43" s="58"/>
      <c r="E43" s="59"/>
      <c r="F43" s="60"/>
    </row>
    <row r="44" spans="1:7" x14ac:dyDescent="0.2">
      <c r="A44" s="61" t="s">
        <v>158</v>
      </c>
      <c r="B44" s="62" t="s">
        <v>159</v>
      </c>
      <c r="C44" s="406" t="s">
        <v>160</v>
      </c>
      <c r="D44" s="407"/>
      <c r="E44" s="63" t="s">
        <v>161</v>
      </c>
      <c r="F44" s="64" t="s">
        <v>162</v>
      </c>
    </row>
    <row r="45" spans="1:7" x14ac:dyDescent="0.2">
      <c r="A45" s="65">
        <v>0</v>
      </c>
      <c r="B45" s="66">
        <v>0</v>
      </c>
      <c r="C45" s="67">
        <v>0</v>
      </c>
      <c r="D45" s="68"/>
      <c r="E45" s="69"/>
      <c r="F45" s="70"/>
    </row>
    <row r="46" spans="1:7" x14ac:dyDescent="0.2">
      <c r="A46" s="65">
        <v>0</v>
      </c>
      <c r="B46" s="66">
        <v>0</v>
      </c>
      <c r="C46" s="67">
        <v>0</v>
      </c>
      <c r="D46" s="68"/>
      <c r="E46" s="69"/>
      <c r="F46" s="70"/>
    </row>
    <row r="47" spans="1:7" x14ac:dyDescent="0.2">
      <c r="A47" s="65">
        <v>0</v>
      </c>
      <c r="B47" s="66">
        <v>0</v>
      </c>
      <c r="C47" s="67">
        <v>0</v>
      </c>
      <c r="D47" s="68"/>
      <c r="E47" s="71"/>
      <c r="F47" s="70"/>
    </row>
    <row r="48" spans="1:7" x14ac:dyDescent="0.2">
      <c r="A48" s="65">
        <v>0</v>
      </c>
      <c r="B48" s="66">
        <v>0</v>
      </c>
      <c r="C48" s="67">
        <v>0</v>
      </c>
      <c r="D48" s="68"/>
      <c r="E48" s="71"/>
      <c r="F48" s="70"/>
    </row>
    <row r="49" spans="1:6" ht="15" x14ac:dyDescent="0.25">
      <c r="A49" s="72"/>
      <c r="B49" s="73"/>
      <c r="C49" s="408" t="s">
        <v>163</v>
      </c>
      <c r="D49" s="408"/>
      <c r="E49" s="409"/>
      <c r="F49" s="74">
        <f>SUM(F45:F48)</f>
        <v>0</v>
      </c>
    </row>
    <row r="50" spans="1:6" x14ac:dyDescent="0.2">
      <c r="A50" s="75" t="s">
        <v>164</v>
      </c>
      <c r="B50" s="76"/>
      <c r="C50" s="76"/>
      <c r="D50" s="77"/>
      <c r="E50" s="78"/>
      <c r="F50" s="79"/>
    </row>
    <row r="51" spans="1:6" x14ac:dyDescent="0.2">
      <c r="A51" s="61" t="s">
        <v>158</v>
      </c>
      <c r="B51" s="62" t="s">
        <v>159</v>
      </c>
      <c r="C51" s="406" t="s">
        <v>7</v>
      </c>
      <c r="D51" s="407"/>
      <c r="E51" s="63" t="s">
        <v>165</v>
      </c>
      <c r="F51" s="64" t="s">
        <v>162</v>
      </c>
    </row>
    <row r="52" spans="1:6" x14ac:dyDescent="0.2">
      <c r="A52" s="80" t="s">
        <v>166</v>
      </c>
      <c r="B52" s="66" t="s">
        <v>33</v>
      </c>
      <c r="C52" s="81">
        <v>1</v>
      </c>
      <c r="D52" s="82"/>
      <c r="E52" s="83">
        <f>+Lista_prec_base!C9</f>
        <v>36907</v>
      </c>
      <c r="F52" s="84">
        <f>+E52*C52</f>
        <v>36907</v>
      </c>
    </row>
    <row r="53" spans="1:6" x14ac:dyDescent="0.2">
      <c r="A53" s="85">
        <v>0</v>
      </c>
      <c r="B53" s="66">
        <v>0</v>
      </c>
      <c r="C53" s="86"/>
      <c r="D53" s="82"/>
      <c r="E53" s="83">
        <v>0</v>
      </c>
      <c r="F53" s="84">
        <v>0</v>
      </c>
    </row>
    <row r="54" spans="1:6" x14ac:dyDescent="0.2">
      <c r="A54" s="65">
        <v>0</v>
      </c>
      <c r="B54" s="66">
        <v>0</v>
      </c>
      <c r="C54" s="87"/>
      <c r="D54" s="82"/>
      <c r="E54" s="83">
        <v>0</v>
      </c>
      <c r="F54" s="84">
        <v>0</v>
      </c>
    </row>
    <row r="55" spans="1:6" x14ac:dyDescent="0.2">
      <c r="A55" s="65">
        <v>0</v>
      </c>
      <c r="B55" s="66">
        <v>0</v>
      </c>
      <c r="C55" s="87"/>
      <c r="D55" s="82"/>
      <c r="E55" s="83">
        <v>0</v>
      </c>
      <c r="F55" s="84">
        <v>0</v>
      </c>
    </row>
    <row r="56" spans="1:6" x14ac:dyDescent="0.2">
      <c r="A56" s="65">
        <v>0</v>
      </c>
      <c r="B56" s="66">
        <v>0</v>
      </c>
      <c r="C56" s="87"/>
      <c r="D56" s="82"/>
      <c r="E56" s="83">
        <v>0</v>
      </c>
      <c r="F56" s="84">
        <v>0</v>
      </c>
    </row>
    <row r="57" spans="1:6" ht="15" x14ac:dyDescent="0.25">
      <c r="A57" s="72"/>
      <c r="B57" s="73"/>
      <c r="C57" s="408" t="s">
        <v>167</v>
      </c>
      <c r="D57" s="408"/>
      <c r="E57" s="409"/>
      <c r="F57" s="74">
        <f>+F52</f>
        <v>36907</v>
      </c>
    </row>
    <row r="58" spans="1:6" x14ac:dyDescent="0.2">
      <c r="A58" s="72" t="s">
        <v>168</v>
      </c>
      <c r="B58" s="73"/>
      <c r="C58" s="73"/>
      <c r="D58" s="88"/>
      <c r="E58" s="89"/>
      <c r="F58" s="90"/>
    </row>
    <row r="59" spans="1:6" x14ac:dyDescent="0.2">
      <c r="A59" s="61" t="s">
        <v>158</v>
      </c>
      <c r="B59" s="62" t="s">
        <v>159</v>
      </c>
      <c r="C59" s="62" t="s">
        <v>169</v>
      </c>
      <c r="D59" s="91" t="s">
        <v>170</v>
      </c>
      <c r="E59" s="63"/>
      <c r="F59" s="64" t="s">
        <v>171</v>
      </c>
    </row>
    <row r="60" spans="1:6" x14ac:dyDescent="0.2">
      <c r="A60" s="65">
        <v>0</v>
      </c>
      <c r="B60" s="92">
        <v>0</v>
      </c>
      <c r="C60" s="93"/>
      <c r="D60" s="94"/>
      <c r="E60" s="95"/>
      <c r="F60" s="70"/>
    </row>
    <row r="61" spans="1:6" x14ac:dyDescent="0.2">
      <c r="A61" s="65">
        <v>0</v>
      </c>
      <c r="B61" s="92">
        <v>0</v>
      </c>
      <c r="C61" s="93"/>
      <c r="D61" s="94">
        <v>0</v>
      </c>
      <c r="E61" s="96"/>
      <c r="F61" s="97">
        <v>0</v>
      </c>
    </row>
    <row r="62" spans="1:6" x14ac:dyDescent="0.2">
      <c r="A62" s="65">
        <v>0</v>
      </c>
      <c r="B62" s="92">
        <v>0</v>
      </c>
      <c r="C62" s="93"/>
      <c r="D62" s="94">
        <v>0</v>
      </c>
      <c r="E62" s="96"/>
      <c r="F62" s="97">
        <v>0</v>
      </c>
    </row>
    <row r="63" spans="1:6" ht="15" x14ac:dyDescent="0.25">
      <c r="A63" s="72"/>
      <c r="B63" s="73"/>
      <c r="C63" s="408" t="s">
        <v>172</v>
      </c>
      <c r="D63" s="408"/>
      <c r="E63" s="409"/>
      <c r="F63" s="74"/>
    </row>
    <row r="64" spans="1:6" x14ac:dyDescent="0.2">
      <c r="A64" s="75" t="s">
        <v>173</v>
      </c>
      <c r="B64" s="76"/>
      <c r="C64" s="76"/>
      <c r="D64" s="77"/>
      <c r="E64" s="78"/>
      <c r="F64" s="79"/>
    </row>
    <row r="65" spans="1:7" x14ac:dyDescent="0.2">
      <c r="A65" s="61" t="s">
        <v>158</v>
      </c>
      <c r="B65" s="62" t="s">
        <v>159</v>
      </c>
      <c r="C65" s="62" t="s">
        <v>174</v>
      </c>
      <c r="D65" s="98" t="s">
        <v>175</v>
      </c>
      <c r="E65" s="63" t="s">
        <v>165</v>
      </c>
      <c r="F65" s="64" t="s">
        <v>162</v>
      </c>
    </row>
    <row r="66" spans="1:7" x14ac:dyDescent="0.2">
      <c r="A66" s="65">
        <v>0</v>
      </c>
      <c r="B66" s="66">
        <v>0</v>
      </c>
      <c r="C66" s="99"/>
      <c r="D66" s="81"/>
      <c r="E66" s="83">
        <v>0</v>
      </c>
      <c r="F66" s="84">
        <v>0</v>
      </c>
    </row>
    <row r="67" spans="1:7" x14ac:dyDescent="0.2">
      <c r="A67" s="65">
        <v>0</v>
      </c>
      <c r="B67" s="66">
        <v>0</v>
      </c>
      <c r="C67" s="99"/>
      <c r="D67" s="81"/>
      <c r="E67" s="83">
        <v>0</v>
      </c>
      <c r="F67" s="84">
        <v>0</v>
      </c>
    </row>
    <row r="68" spans="1:7" ht="15" x14ac:dyDescent="0.25">
      <c r="A68" s="72"/>
      <c r="B68" s="73"/>
      <c r="C68" s="408" t="s">
        <v>176</v>
      </c>
      <c r="D68" s="408"/>
      <c r="E68" s="409"/>
      <c r="F68" s="74">
        <v>0</v>
      </c>
    </row>
    <row r="69" spans="1:7" ht="15" thickBot="1" x14ac:dyDescent="0.25">
      <c r="A69" s="75"/>
      <c r="B69" s="76"/>
      <c r="C69" s="76"/>
      <c r="D69" s="77"/>
      <c r="E69" s="78"/>
      <c r="F69" s="79"/>
    </row>
    <row r="70" spans="1:7" ht="15.75" thickBot="1" x14ac:dyDescent="0.3">
      <c r="A70" s="100" t="s">
        <v>177</v>
      </c>
      <c r="B70" s="101"/>
      <c r="C70" s="101"/>
      <c r="D70" s="101"/>
      <c r="E70" s="102"/>
      <c r="F70" s="103">
        <f>+F57</f>
        <v>36907</v>
      </c>
    </row>
    <row r="71" spans="1:7" ht="15" x14ac:dyDescent="0.25">
      <c r="A71" s="104" t="s">
        <v>178</v>
      </c>
      <c r="B71" s="105"/>
      <c r="C71" s="105"/>
      <c r="D71" s="105"/>
      <c r="E71" s="105"/>
      <c r="F71" s="106" t="s">
        <v>179</v>
      </c>
    </row>
    <row r="72" spans="1:7" x14ac:dyDescent="0.2">
      <c r="A72" s="413" t="s">
        <v>158</v>
      </c>
      <c r="B72" s="414"/>
      <c r="C72" s="414"/>
      <c r="D72" s="415"/>
      <c r="E72" s="107" t="s">
        <v>144</v>
      </c>
      <c r="F72" s="108"/>
    </row>
    <row r="73" spans="1:7" x14ac:dyDescent="0.2">
      <c r="A73" s="413" t="s">
        <v>180</v>
      </c>
      <c r="B73" s="414"/>
      <c r="C73" s="414"/>
      <c r="D73" s="415"/>
      <c r="E73" s="109">
        <v>0.18</v>
      </c>
      <c r="F73" s="108">
        <f>+E73*F70</f>
        <v>6643.2599999999993</v>
      </c>
    </row>
    <row r="74" spans="1:7" x14ac:dyDescent="0.2">
      <c r="A74" s="413" t="s">
        <v>181</v>
      </c>
      <c r="B74" s="414"/>
      <c r="C74" s="414"/>
      <c r="D74" s="415"/>
      <c r="E74" s="109"/>
      <c r="F74" s="108"/>
    </row>
    <row r="75" spans="1:7" x14ac:dyDescent="0.2">
      <c r="A75" s="413" t="s">
        <v>182</v>
      </c>
      <c r="B75" s="414"/>
      <c r="C75" s="414"/>
      <c r="D75" s="415"/>
      <c r="E75" s="109"/>
      <c r="F75" s="108"/>
    </row>
    <row r="76" spans="1:7" x14ac:dyDescent="0.2">
      <c r="A76" s="110" t="s">
        <v>183</v>
      </c>
      <c r="B76" s="111"/>
      <c r="C76" s="111"/>
      <c r="D76" s="111"/>
      <c r="E76" s="109">
        <v>0.16</v>
      </c>
      <c r="F76" s="108">
        <f>+E76*F70</f>
        <v>5905.12</v>
      </c>
    </row>
    <row r="77" spans="1:7" ht="15" x14ac:dyDescent="0.2">
      <c r="A77" s="112"/>
      <c r="B77" s="113"/>
      <c r="C77" s="113"/>
      <c r="D77" s="113"/>
      <c r="E77" s="114" t="s">
        <v>184</v>
      </c>
      <c r="F77" s="115">
        <f>+F73+F76</f>
        <v>12548.38</v>
      </c>
    </row>
    <row r="78" spans="1:7" ht="15.75" thickBot="1" x14ac:dyDescent="0.3">
      <c r="A78" s="416" t="s">
        <v>185</v>
      </c>
      <c r="B78" s="417"/>
      <c r="C78" s="417"/>
      <c r="D78" s="417"/>
      <c r="E78" s="418"/>
      <c r="F78" s="116">
        <f>ROUND(F70+F77,0)</f>
        <v>49455</v>
      </c>
    </row>
    <row r="79" spans="1:7" x14ac:dyDescent="0.2">
      <c r="A79" s="41" t="s">
        <v>153</v>
      </c>
      <c r="B79" s="42" t="s">
        <v>151</v>
      </c>
      <c r="C79" s="43"/>
      <c r="D79" s="44"/>
      <c r="E79" s="45"/>
      <c r="F79" s="46"/>
    </row>
    <row r="80" spans="1:7" ht="15" customHeight="1" x14ac:dyDescent="0.2">
      <c r="A80" s="48" t="s">
        <v>154</v>
      </c>
      <c r="B80" s="403" t="s">
        <v>216</v>
      </c>
      <c r="C80" s="404"/>
      <c r="D80" s="404"/>
      <c r="E80" s="404"/>
      <c r="F80" s="405"/>
      <c r="G80" s="49">
        <v>3</v>
      </c>
    </row>
    <row r="81" spans="1:6" ht="15" thickBot="1" x14ac:dyDescent="0.25">
      <c r="A81" s="50" t="s">
        <v>156</v>
      </c>
      <c r="B81" s="51" t="s">
        <v>33</v>
      </c>
      <c r="C81" s="52"/>
      <c r="D81" s="53"/>
      <c r="E81" s="52"/>
      <c r="F81" s="54"/>
    </row>
    <row r="82" spans="1:6" x14ac:dyDescent="0.2">
      <c r="A82" s="55" t="s">
        <v>157</v>
      </c>
      <c r="B82" s="56"/>
      <c r="C82" s="57"/>
      <c r="D82" s="58"/>
      <c r="E82" s="59"/>
      <c r="F82" s="60"/>
    </row>
    <row r="83" spans="1:6" x14ac:dyDescent="0.2">
      <c r="A83" s="61" t="s">
        <v>158</v>
      </c>
      <c r="B83" s="62" t="s">
        <v>159</v>
      </c>
      <c r="C83" s="406" t="s">
        <v>160</v>
      </c>
      <c r="D83" s="407"/>
      <c r="E83" s="63" t="s">
        <v>161</v>
      </c>
      <c r="F83" s="64" t="s">
        <v>162</v>
      </c>
    </row>
    <row r="84" spans="1:6" x14ac:dyDescent="0.2">
      <c r="A84" s="65">
        <v>0</v>
      </c>
      <c r="B84" s="66">
        <v>0</v>
      </c>
      <c r="C84" s="67">
        <v>0</v>
      </c>
      <c r="D84" s="68"/>
      <c r="E84" s="69"/>
      <c r="F84" s="70"/>
    </row>
    <row r="85" spans="1:6" x14ac:dyDescent="0.2">
      <c r="A85" s="65">
        <v>0</v>
      </c>
      <c r="B85" s="66">
        <v>0</v>
      </c>
      <c r="C85" s="67">
        <v>0</v>
      </c>
      <c r="D85" s="68"/>
      <c r="E85" s="69"/>
      <c r="F85" s="70"/>
    </row>
    <row r="86" spans="1:6" x14ac:dyDescent="0.2">
      <c r="A86" s="65">
        <v>0</v>
      </c>
      <c r="B86" s="66">
        <v>0</v>
      </c>
      <c r="C86" s="67">
        <v>0</v>
      </c>
      <c r="D86" s="68"/>
      <c r="E86" s="71"/>
      <c r="F86" s="70"/>
    </row>
    <row r="87" spans="1:6" x14ac:dyDescent="0.2">
      <c r="A87" s="65">
        <v>0</v>
      </c>
      <c r="B87" s="66">
        <v>0</v>
      </c>
      <c r="C87" s="67">
        <v>0</v>
      </c>
      <c r="D87" s="68"/>
      <c r="E87" s="71"/>
      <c r="F87" s="70"/>
    </row>
    <row r="88" spans="1:6" ht="15" x14ac:dyDescent="0.25">
      <c r="A88" s="72"/>
      <c r="B88" s="73"/>
      <c r="C88" s="408" t="s">
        <v>163</v>
      </c>
      <c r="D88" s="408"/>
      <c r="E88" s="409"/>
      <c r="F88" s="74">
        <f>SUM(F84:F87)</f>
        <v>0</v>
      </c>
    </row>
    <row r="89" spans="1:6" x14ac:dyDescent="0.2">
      <c r="A89" s="75" t="s">
        <v>164</v>
      </c>
      <c r="B89" s="76"/>
      <c r="C89" s="76"/>
      <c r="D89" s="77"/>
      <c r="E89" s="78"/>
      <c r="F89" s="79"/>
    </row>
    <row r="90" spans="1:6" x14ac:dyDescent="0.2">
      <c r="A90" s="61" t="s">
        <v>158</v>
      </c>
      <c r="B90" s="62" t="s">
        <v>159</v>
      </c>
      <c r="C90" s="406" t="s">
        <v>7</v>
      </c>
      <c r="D90" s="407"/>
      <c r="E90" s="63" t="s">
        <v>165</v>
      </c>
      <c r="F90" s="64" t="s">
        <v>162</v>
      </c>
    </row>
    <row r="91" spans="1:6" x14ac:dyDescent="0.2">
      <c r="A91" s="80" t="s">
        <v>186</v>
      </c>
      <c r="B91" s="66" t="s">
        <v>33</v>
      </c>
      <c r="C91" s="81">
        <v>1</v>
      </c>
      <c r="D91" s="82"/>
      <c r="E91" s="83">
        <f>+Lista_prec_base!C10</f>
        <v>54568</v>
      </c>
      <c r="F91" s="84">
        <f>+E91*C91</f>
        <v>54568</v>
      </c>
    </row>
    <row r="92" spans="1:6" x14ac:dyDescent="0.2">
      <c r="A92" s="85">
        <v>0</v>
      </c>
      <c r="B92" s="66">
        <v>0</v>
      </c>
      <c r="C92" s="86"/>
      <c r="D92" s="82"/>
      <c r="E92" s="83">
        <v>0</v>
      </c>
      <c r="F92" s="84">
        <v>0</v>
      </c>
    </row>
    <row r="93" spans="1:6" x14ac:dyDescent="0.2">
      <c r="A93" s="65">
        <v>0</v>
      </c>
      <c r="B93" s="66">
        <v>0</v>
      </c>
      <c r="C93" s="87"/>
      <c r="D93" s="82"/>
      <c r="E93" s="83">
        <v>0</v>
      </c>
      <c r="F93" s="84">
        <v>0</v>
      </c>
    </row>
    <row r="94" spans="1:6" x14ac:dyDescent="0.2">
      <c r="A94" s="65">
        <v>0</v>
      </c>
      <c r="B94" s="66">
        <v>0</v>
      </c>
      <c r="C94" s="87"/>
      <c r="D94" s="82"/>
      <c r="E94" s="83">
        <v>0</v>
      </c>
      <c r="F94" s="84">
        <v>0</v>
      </c>
    </row>
    <row r="95" spans="1:6" x14ac:dyDescent="0.2">
      <c r="A95" s="65">
        <v>0</v>
      </c>
      <c r="B95" s="66">
        <v>0</v>
      </c>
      <c r="C95" s="87"/>
      <c r="D95" s="82"/>
      <c r="E95" s="83">
        <v>0</v>
      </c>
      <c r="F95" s="84">
        <v>0</v>
      </c>
    </row>
    <row r="96" spans="1:6" ht="15" x14ac:dyDescent="0.25">
      <c r="A96" s="72"/>
      <c r="B96" s="73"/>
      <c r="C96" s="408" t="s">
        <v>167</v>
      </c>
      <c r="D96" s="408"/>
      <c r="E96" s="409"/>
      <c r="F96" s="74">
        <f>+F91</f>
        <v>54568</v>
      </c>
    </row>
    <row r="97" spans="1:6" x14ac:dyDescent="0.2">
      <c r="A97" s="72" t="s">
        <v>168</v>
      </c>
      <c r="B97" s="73"/>
      <c r="C97" s="73"/>
      <c r="D97" s="88"/>
      <c r="E97" s="89"/>
      <c r="F97" s="90"/>
    </row>
    <row r="98" spans="1:6" x14ac:dyDescent="0.2">
      <c r="A98" s="61" t="s">
        <v>158</v>
      </c>
      <c r="B98" s="62" t="s">
        <v>159</v>
      </c>
      <c r="C98" s="62" t="s">
        <v>169</v>
      </c>
      <c r="D98" s="91" t="s">
        <v>170</v>
      </c>
      <c r="E98" s="63"/>
      <c r="F98" s="64" t="s">
        <v>171</v>
      </c>
    </row>
    <row r="99" spans="1:6" x14ac:dyDescent="0.2">
      <c r="A99" s="65">
        <v>0</v>
      </c>
      <c r="B99" s="92">
        <v>0</v>
      </c>
      <c r="C99" s="93"/>
      <c r="D99" s="94"/>
      <c r="E99" s="95"/>
      <c r="F99" s="70"/>
    </row>
    <row r="100" spans="1:6" x14ac:dyDescent="0.2">
      <c r="A100" s="65">
        <v>0</v>
      </c>
      <c r="B100" s="92">
        <v>0</v>
      </c>
      <c r="C100" s="93"/>
      <c r="D100" s="94">
        <v>0</v>
      </c>
      <c r="E100" s="96"/>
      <c r="F100" s="97">
        <v>0</v>
      </c>
    </row>
    <row r="101" spans="1:6" x14ac:dyDescent="0.2">
      <c r="A101" s="65">
        <v>0</v>
      </c>
      <c r="B101" s="92">
        <v>0</v>
      </c>
      <c r="C101" s="93"/>
      <c r="D101" s="94">
        <v>0</v>
      </c>
      <c r="E101" s="96"/>
      <c r="F101" s="97">
        <v>0</v>
      </c>
    </row>
    <row r="102" spans="1:6" ht="15" x14ac:dyDescent="0.25">
      <c r="A102" s="72"/>
      <c r="B102" s="73"/>
      <c r="C102" s="408" t="s">
        <v>172</v>
      </c>
      <c r="D102" s="408"/>
      <c r="E102" s="409"/>
      <c r="F102" s="74"/>
    </row>
    <row r="103" spans="1:6" x14ac:dyDescent="0.2">
      <c r="A103" s="75" t="s">
        <v>173</v>
      </c>
      <c r="B103" s="76"/>
      <c r="C103" s="76"/>
      <c r="D103" s="77"/>
      <c r="E103" s="78"/>
      <c r="F103" s="79"/>
    </row>
    <row r="104" spans="1:6" x14ac:dyDescent="0.2">
      <c r="A104" s="61" t="s">
        <v>158</v>
      </c>
      <c r="B104" s="62" t="s">
        <v>159</v>
      </c>
      <c r="C104" s="62" t="s">
        <v>174</v>
      </c>
      <c r="D104" s="98" t="s">
        <v>175</v>
      </c>
      <c r="E104" s="63" t="s">
        <v>165</v>
      </c>
      <c r="F104" s="64" t="s">
        <v>162</v>
      </c>
    </row>
    <row r="105" spans="1:6" x14ac:dyDescent="0.2">
      <c r="A105" s="65">
        <v>0</v>
      </c>
      <c r="B105" s="66">
        <v>0</v>
      </c>
      <c r="C105" s="99"/>
      <c r="D105" s="81"/>
      <c r="E105" s="83">
        <v>0</v>
      </c>
      <c r="F105" s="84">
        <v>0</v>
      </c>
    </row>
    <row r="106" spans="1:6" x14ac:dyDescent="0.2">
      <c r="A106" s="65">
        <v>0</v>
      </c>
      <c r="B106" s="66">
        <v>0</v>
      </c>
      <c r="C106" s="99"/>
      <c r="D106" s="81"/>
      <c r="E106" s="83">
        <v>0</v>
      </c>
      <c r="F106" s="84">
        <v>0</v>
      </c>
    </row>
    <row r="107" spans="1:6" ht="15" x14ac:dyDescent="0.25">
      <c r="A107" s="72"/>
      <c r="B107" s="73"/>
      <c r="C107" s="408" t="s">
        <v>176</v>
      </c>
      <c r="D107" s="408"/>
      <c r="E107" s="409"/>
      <c r="F107" s="74">
        <v>0</v>
      </c>
    </row>
    <row r="108" spans="1:6" ht="15" thickBot="1" x14ac:dyDescent="0.25">
      <c r="A108" s="75"/>
      <c r="B108" s="76"/>
      <c r="C108" s="76"/>
      <c r="D108" s="77"/>
      <c r="E108" s="78"/>
      <c r="F108" s="79"/>
    </row>
    <row r="109" spans="1:6" ht="15.75" thickBot="1" x14ac:dyDescent="0.3">
      <c r="A109" s="100" t="s">
        <v>177</v>
      </c>
      <c r="B109" s="101"/>
      <c r="C109" s="101"/>
      <c r="D109" s="101"/>
      <c r="E109" s="102"/>
      <c r="F109" s="103">
        <f>+F96</f>
        <v>54568</v>
      </c>
    </row>
    <row r="110" spans="1:6" ht="15" x14ac:dyDescent="0.25">
      <c r="A110" s="104" t="s">
        <v>178</v>
      </c>
      <c r="B110" s="105"/>
      <c r="C110" s="105"/>
      <c r="D110" s="105"/>
      <c r="E110" s="105"/>
      <c r="F110" s="106" t="s">
        <v>179</v>
      </c>
    </row>
    <row r="111" spans="1:6" x14ac:dyDescent="0.2">
      <c r="A111" s="413" t="s">
        <v>158</v>
      </c>
      <c r="B111" s="414"/>
      <c r="C111" s="414"/>
      <c r="D111" s="415"/>
      <c r="E111" s="107" t="s">
        <v>144</v>
      </c>
      <c r="F111" s="108"/>
    </row>
    <row r="112" spans="1:6" x14ac:dyDescent="0.2">
      <c r="A112" s="413" t="s">
        <v>180</v>
      </c>
      <c r="B112" s="414"/>
      <c r="C112" s="414"/>
      <c r="D112" s="415"/>
      <c r="E112" s="109">
        <v>0.18</v>
      </c>
      <c r="F112" s="108">
        <f>+E112*F109</f>
        <v>9822.24</v>
      </c>
    </row>
    <row r="113" spans="1:7" x14ac:dyDescent="0.2">
      <c r="A113" s="413" t="s">
        <v>181</v>
      </c>
      <c r="B113" s="414"/>
      <c r="C113" s="414"/>
      <c r="D113" s="415"/>
      <c r="E113" s="109"/>
      <c r="F113" s="108"/>
    </row>
    <row r="114" spans="1:7" x14ac:dyDescent="0.2">
      <c r="A114" s="413" t="s">
        <v>182</v>
      </c>
      <c r="B114" s="414"/>
      <c r="C114" s="414"/>
      <c r="D114" s="415"/>
      <c r="E114" s="109"/>
      <c r="F114" s="108"/>
    </row>
    <row r="115" spans="1:7" x14ac:dyDescent="0.2">
      <c r="A115" s="110" t="s">
        <v>183</v>
      </c>
      <c r="B115" s="111"/>
      <c r="C115" s="111"/>
      <c r="D115" s="111"/>
      <c r="E115" s="109">
        <v>0.16</v>
      </c>
      <c r="F115" s="108">
        <f>+E115*F109</f>
        <v>8730.880000000001</v>
      </c>
    </row>
    <row r="116" spans="1:7" ht="15" x14ac:dyDescent="0.2">
      <c r="A116" s="112"/>
      <c r="B116" s="113"/>
      <c r="C116" s="113"/>
      <c r="D116" s="113"/>
      <c r="E116" s="114" t="s">
        <v>184</v>
      </c>
      <c r="F116" s="115">
        <f>+F112+F115</f>
        <v>18553.120000000003</v>
      </c>
    </row>
    <row r="117" spans="1:7" ht="15.75" thickBot="1" x14ac:dyDescent="0.3">
      <c r="A117" s="416" t="s">
        <v>185</v>
      </c>
      <c r="B117" s="417"/>
      <c r="C117" s="417"/>
      <c r="D117" s="417"/>
      <c r="E117" s="418"/>
      <c r="F117" s="116">
        <f>ROUND(F109+F116,0)</f>
        <v>73121</v>
      </c>
    </row>
    <row r="118" spans="1:7" x14ac:dyDescent="0.2">
      <c r="A118" s="41" t="s">
        <v>153</v>
      </c>
      <c r="B118" s="42" t="s">
        <v>35</v>
      </c>
      <c r="C118" s="43"/>
      <c r="D118" s="44"/>
      <c r="E118" s="45"/>
      <c r="F118" s="46"/>
    </row>
    <row r="119" spans="1:7" ht="15" customHeight="1" x14ac:dyDescent="0.2">
      <c r="A119" s="48" t="s">
        <v>154</v>
      </c>
      <c r="B119" s="403" t="s">
        <v>248</v>
      </c>
      <c r="C119" s="404"/>
      <c r="D119" s="404"/>
      <c r="E119" s="404"/>
      <c r="F119" s="405"/>
      <c r="G119" s="49">
        <v>4</v>
      </c>
    </row>
    <row r="120" spans="1:7" ht="15" thickBot="1" x14ac:dyDescent="0.25">
      <c r="A120" s="50" t="s">
        <v>156</v>
      </c>
      <c r="B120" s="51" t="s">
        <v>33</v>
      </c>
      <c r="C120" s="52"/>
      <c r="D120" s="53"/>
      <c r="E120" s="52"/>
      <c r="F120" s="54"/>
    </row>
    <row r="121" spans="1:7" x14ac:dyDescent="0.2">
      <c r="A121" s="55" t="s">
        <v>157</v>
      </c>
      <c r="B121" s="56"/>
      <c r="C121" s="57"/>
      <c r="D121" s="58"/>
      <c r="E121" s="59"/>
      <c r="F121" s="60"/>
    </row>
    <row r="122" spans="1:7" x14ac:dyDescent="0.2">
      <c r="A122" s="61" t="s">
        <v>158</v>
      </c>
      <c r="B122" s="62" t="s">
        <v>159</v>
      </c>
      <c r="C122" s="406" t="s">
        <v>160</v>
      </c>
      <c r="D122" s="407"/>
      <c r="E122" s="63" t="s">
        <v>161</v>
      </c>
      <c r="F122" s="64" t="s">
        <v>162</v>
      </c>
    </row>
    <row r="123" spans="1:7" x14ac:dyDescent="0.2">
      <c r="A123" s="65">
        <v>0</v>
      </c>
      <c r="B123" s="66">
        <v>0</v>
      </c>
      <c r="C123" s="67">
        <v>0</v>
      </c>
      <c r="D123" s="68"/>
      <c r="E123" s="69"/>
      <c r="F123" s="70"/>
    </row>
    <row r="124" spans="1:7" x14ac:dyDescent="0.2">
      <c r="A124" s="65">
        <v>0</v>
      </c>
      <c r="B124" s="66">
        <v>0</v>
      </c>
      <c r="C124" s="67">
        <v>0</v>
      </c>
      <c r="D124" s="68"/>
      <c r="E124" s="69"/>
      <c r="F124" s="70"/>
    </row>
    <row r="125" spans="1:7" x14ac:dyDescent="0.2">
      <c r="A125" s="65">
        <v>0</v>
      </c>
      <c r="B125" s="66">
        <v>0</v>
      </c>
      <c r="C125" s="67">
        <v>0</v>
      </c>
      <c r="D125" s="68"/>
      <c r="E125" s="71"/>
      <c r="F125" s="70"/>
    </row>
    <row r="126" spans="1:7" x14ac:dyDescent="0.2">
      <c r="A126" s="65">
        <v>0</v>
      </c>
      <c r="B126" s="66">
        <v>0</v>
      </c>
      <c r="C126" s="67">
        <v>0</v>
      </c>
      <c r="D126" s="68"/>
      <c r="E126" s="71"/>
      <c r="F126" s="70"/>
    </row>
    <row r="127" spans="1:7" ht="15" x14ac:dyDescent="0.25">
      <c r="A127" s="72"/>
      <c r="B127" s="73"/>
      <c r="C127" s="408" t="s">
        <v>163</v>
      </c>
      <c r="D127" s="408"/>
      <c r="E127" s="409"/>
      <c r="F127" s="74">
        <f>SUM(F123:F126)</f>
        <v>0</v>
      </c>
    </row>
    <row r="128" spans="1:7" x14ac:dyDescent="0.2">
      <c r="A128" s="75" t="s">
        <v>164</v>
      </c>
      <c r="B128" s="76"/>
      <c r="C128" s="76"/>
      <c r="D128" s="77"/>
      <c r="E128" s="78"/>
      <c r="F128" s="79"/>
    </row>
    <row r="129" spans="1:6" x14ac:dyDescent="0.2">
      <c r="A129" s="61" t="s">
        <v>158</v>
      </c>
      <c r="B129" s="62" t="s">
        <v>159</v>
      </c>
      <c r="C129" s="406" t="s">
        <v>7</v>
      </c>
      <c r="D129" s="407"/>
      <c r="E129" s="63" t="s">
        <v>165</v>
      </c>
      <c r="F129" s="64" t="s">
        <v>162</v>
      </c>
    </row>
    <row r="130" spans="1:6" x14ac:dyDescent="0.2">
      <c r="A130" s="80" t="s">
        <v>253</v>
      </c>
      <c r="B130" s="66" t="s">
        <v>33</v>
      </c>
      <c r="C130" s="81">
        <v>1</v>
      </c>
      <c r="D130" s="82"/>
      <c r="E130" s="83">
        <f>+Lista_prec_base!C11</f>
        <v>84521</v>
      </c>
      <c r="F130" s="84">
        <f>+E130*C130</f>
        <v>84521</v>
      </c>
    </row>
    <row r="131" spans="1:6" x14ac:dyDescent="0.2">
      <c r="A131" s="85">
        <v>0</v>
      </c>
      <c r="B131" s="66">
        <v>0</v>
      </c>
      <c r="C131" s="86"/>
      <c r="D131" s="82"/>
      <c r="E131" s="83">
        <v>0</v>
      </c>
      <c r="F131" s="84">
        <v>0</v>
      </c>
    </row>
    <row r="132" spans="1:6" x14ac:dyDescent="0.2">
      <c r="A132" s="65">
        <v>0</v>
      </c>
      <c r="B132" s="66">
        <v>0</v>
      </c>
      <c r="C132" s="87"/>
      <c r="D132" s="82"/>
      <c r="E132" s="83">
        <v>0</v>
      </c>
      <c r="F132" s="84">
        <v>0</v>
      </c>
    </row>
    <row r="133" spans="1:6" x14ac:dyDescent="0.2">
      <c r="A133" s="65">
        <v>0</v>
      </c>
      <c r="B133" s="66">
        <v>0</v>
      </c>
      <c r="C133" s="87"/>
      <c r="D133" s="82"/>
      <c r="E133" s="83">
        <v>0</v>
      </c>
      <c r="F133" s="84">
        <v>0</v>
      </c>
    </row>
    <row r="134" spans="1:6" x14ac:dyDescent="0.2">
      <c r="A134" s="65">
        <v>0</v>
      </c>
      <c r="B134" s="66">
        <v>0</v>
      </c>
      <c r="C134" s="87"/>
      <c r="D134" s="82"/>
      <c r="E134" s="83">
        <v>0</v>
      </c>
      <c r="F134" s="84">
        <v>0</v>
      </c>
    </row>
    <row r="135" spans="1:6" ht="15" x14ac:dyDescent="0.25">
      <c r="A135" s="72"/>
      <c r="B135" s="73"/>
      <c r="C135" s="408" t="s">
        <v>167</v>
      </c>
      <c r="D135" s="408"/>
      <c r="E135" s="409"/>
      <c r="F135" s="74">
        <f>+F130</f>
        <v>84521</v>
      </c>
    </row>
    <row r="136" spans="1:6" x14ac:dyDescent="0.2">
      <c r="A136" s="72" t="s">
        <v>168</v>
      </c>
      <c r="B136" s="73"/>
      <c r="C136" s="73"/>
      <c r="D136" s="88"/>
      <c r="E136" s="89"/>
      <c r="F136" s="90"/>
    </row>
    <row r="137" spans="1:6" x14ac:dyDescent="0.2">
      <c r="A137" s="61" t="s">
        <v>158</v>
      </c>
      <c r="B137" s="62" t="s">
        <v>159</v>
      </c>
      <c r="C137" s="62" t="s">
        <v>169</v>
      </c>
      <c r="D137" s="91" t="s">
        <v>170</v>
      </c>
      <c r="E137" s="63"/>
      <c r="F137" s="64" t="s">
        <v>171</v>
      </c>
    </row>
    <row r="138" spans="1:6" x14ac:dyDescent="0.2">
      <c r="A138" s="65">
        <v>0</v>
      </c>
      <c r="B138" s="92">
        <v>0</v>
      </c>
      <c r="C138" s="93"/>
      <c r="D138" s="94"/>
      <c r="E138" s="95"/>
      <c r="F138" s="70"/>
    </row>
    <row r="139" spans="1:6" x14ac:dyDescent="0.2">
      <c r="A139" s="65">
        <v>0</v>
      </c>
      <c r="B139" s="92">
        <v>0</v>
      </c>
      <c r="C139" s="93"/>
      <c r="D139" s="94">
        <v>0</v>
      </c>
      <c r="E139" s="96"/>
      <c r="F139" s="97">
        <v>0</v>
      </c>
    </row>
    <row r="140" spans="1:6" x14ac:dyDescent="0.2">
      <c r="A140" s="65">
        <v>0</v>
      </c>
      <c r="B140" s="92">
        <v>0</v>
      </c>
      <c r="C140" s="93"/>
      <c r="D140" s="94">
        <v>0</v>
      </c>
      <c r="E140" s="96"/>
      <c r="F140" s="97">
        <v>0</v>
      </c>
    </row>
    <row r="141" spans="1:6" ht="15" x14ac:dyDescent="0.25">
      <c r="A141" s="72"/>
      <c r="B141" s="73"/>
      <c r="C141" s="408" t="s">
        <v>172</v>
      </c>
      <c r="D141" s="408"/>
      <c r="E141" s="409"/>
      <c r="F141" s="74"/>
    </row>
    <row r="142" spans="1:6" x14ac:dyDescent="0.2">
      <c r="A142" s="75" t="s">
        <v>173</v>
      </c>
      <c r="B142" s="76"/>
      <c r="C142" s="76"/>
      <c r="D142" s="77"/>
      <c r="E142" s="78"/>
      <c r="F142" s="79"/>
    </row>
    <row r="143" spans="1:6" x14ac:dyDescent="0.2">
      <c r="A143" s="61" t="s">
        <v>158</v>
      </c>
      <c r="B143" s="62" t="s">
        <v>159</v>
      </c>
      <c r="C143" s="62" t="s">
        <v>174</v>
      </c>
      <c r="D143" s="98" t="s">
        <v>175</v>
      </c>
      <c r="E143" s="63" t="s">
        <v>165</v>
      </c>
      <c r="F143" s="64" t="s">
        <v>162</v>
      </c>
    </row>
    <row r="144" spans="1:6" x14ac:dyDescent="0.2">
      <c r="A144" s="65">
        <v>0</v>
      </c>
      <c r="B144" s="66">
        <v>0</v>
      </c>
      <c r="C144" s="99"/>
      <c r="D144" s="81"/>
      <c r="E144" s="83">
        <v>0</v>
      </c>
      <c r="F144" s="84">
        <v>0</v>
      </c>
    </row>
    <row r="145" spans="1:6" x14ac:dyDescent="0.2">
      <c r="A145" s="65">
        <v>0</v>
      </c>
      <c r="B145" s="66">
        <v>0</v>
      </c>
      <c r="C145" s="99"/>
      <c r="D145" s="81"/>
      <c r="E145" s="83">
        <v>0</v>
      </c>
      <c r="F145" s="84">
        <v>0</v>
      </c>
    </row>
    <row r="146" spans="1:6" ht="15" x14ac:dyDescent="0.25">
      <c r="A146" s="72"/>
      <c r="B146" s="73"/>
      <c r="C146" s="408" t="s">
        <v>176</v>
      </c>
      <c r="D146" s="408"/>
      <c r="E146" s="409"/>
      <c r="F146" s="74">
        <v>0</v>
      </c>
    </row>
    <row r="147" spans="1:6" ht="15" thickBot="1" x14ac:dyDescent="0.25">
      <c r="A147" s="75"/>
      <c r="B147" s="76"/>
      <c r="C147" s="76"/>
      <c r="D147" s="77"/>
      <c r="E147" s="78"/>
      <c r="F147" s="79"/>
    </row>
    <row r="148" spans="1:6" ht="15.75" thickBot="1" x14ac:dyDescent="0.3">
      <c r="A148" s="100" t="s">
        <v>177</v>
      </c>
      <c r="B148" s="101"/>
      <c r="C148" s="101"/>
      <c r="D148" s="101"/>
      <c r="E148" s="102"/>
      <c r="F148" s="103">
        <f>+F135</f>
        <v>84521</v>
      </c>
    </row>
    <row r="149" spans="1:6" ht="15" x14ac:dyDescent="0.25">
      <c r="A149" s="104" t="s">
        <v>178</v>
      </c>
      <c r="B149" s="105"/>
      <c r="C149" s="105"/>
      <c r="D149" s="105"/>
      <c r="E149" s="105"/>
      <c r="F149" s="106" t="s">
        <v>179</v>
      </c>
    </row>
    <row r="150" spans="1:6" x14ac:dyDescent="0.2">
      <c r="A150" s="413" t="s">
        <v>158</v>
      </c>
      <c r="B150" s="414"/>
      <c r="C150" s="414"/>
      <c r="D150" s="415"/>
      <c r="E150" s="107" t="s">
        <v>144</v>
      </c>
      <c r="F150" s="108"/>
    </row>
    <row r="151" spans="1:6" x14ac:dyDescent="0.2">
      <c r="A151" s="413" t="s">
        <v>180</v>
      </c>
      <c r="B151" s="414"/>
      <c r="C151" s="414"/>
      <c r="D151" s="415"/>
      <c r="E151" s="109">
        <v>0.18</v>
      </c>
      <c r="F151" s="108">
        <f>+E151*F148</f>
        <v>15213.779999999999</v>
      </c>
    </row>
    <row r="152" spans="1:6" x14ac:dyDescent="0.2">
      <c r="A152" s="413" t="s">
        <v>181</v>
      </c>
      <c r="B152" s="414"/>
      <c r="C152" s="414"/>
      <c r="D152" s="415"/>
      <c r="E152" s="109"/>
      <c r="F152" s="108"/>
    </row>
    <row r="153" spans="1:6" x14ac:dyDescent="0.2">
      <c r="A153" s="413" t="s">
        <v>182</v>
      </c>
      <c r="B153" s="414"/>
      <c r="C153" s="414"/>
      <c r="D153" s="415"/>
      <c r="E153" s="109"/>
      <c r="F153" s="108"/>
    </row>
    <row r="154" spans="1:6" x14ac:dyDescent="0.2">
      <c r="A154" s="110" t="s">
        <v>183</v>
      </c>
      <c r="B154" s="111"/>
      <c r="C154" s="111"/>
      <c r="D154" s="111"/>
      <c r="E154" s="109">
        <v>0.16</v>
      </c>
      <c r="F154" s="108">
        <f>+E154*F148</f>
        <v>13523.36</v>
      </c>
    </row>
    <row r="155" spans="1:6" ht="15" x14ac:dyDescent="0.2">
      <c r="A155" s="112"/>
      <c r="B155" s="113"/>
      <c r="C155" s="113"/>
      <c r="D155" s="113"/>
      <c r="E155" s="114" t="s">
        <v>184</v>
      </c>
      <c r="F155" s="115">
        <f>+F151+F154</f>
        <v>28737.14</v>
      </c>
    </row>
    <row r="156" spans="1:6" ht="15.75" thickBot="1" x14ac:dyDescent="0.3">
      <c r="A156" s="416" t="s">
        <v>185</v>
      </c>
      <c r="B156" s="417"/>
      <c r="C156" s="417"/>
      <c r="D156" s="417"/>
      <c r="E156" s="418"/>
      <c r="F156" s="116">
        <f>ROUND(F148+F155,0)</f>
        <v>113258</v>
      </c>
    </row>
    <row r="157" spans="1:6" x14ac:dyDescent="0.2">
      <c r="A157" s="41" t="s">
        <v>153</v>
      </c>
      <c r="B157" s="117" t="s">
        <v>75</v>
      </c>
      <c r="C157" s="43"/>
      <c r="D157" s="44"/>
      <c r="E157" s="45"/>
      <c r="F157" s="46"/>
    </row>
    <row r="158" spans="1:6" x14ac:dyDescent="0.2">
      <c r="A158" s="48" t="s">
        <v>154</v>
      </c>
      <c r="B158" s="403" t="s">
        <v>76</v>
      </c>
      <c r="C158" s="404"/>
      <c r="D158" s="404"/>
      <c r="E158" s="404"/>
      <c r="F158" s="405"/>
    </row>
    <row r="159" spans="1:6" ht="15" thickBot="1" x14ac:dyDescent="0.25">
      <c r="A159" s="50" t="s">
        <v>156</v>
      </c>
      <c r="B159" s="51" t="s">
        <v>15</v>
      </c>
      <c r="C159" s="52"/>
      <c r="D159" s="53"/>
      <c r="E159" s="52"/>
      <c r="F159" s="54"/>
    </row>
    <row r="160" spans="1:6" x14ac:dyDescent="0.2">
      <c r="A160" s="55" t="s">
        <v>157</v>
      </c>
      <c r="B160" s="56"/>
      <c r="C160" s="57"/>
      <c r="D160" s="58"/>
      <c r="E160" s="59"/>
      <c r="F160" s="60"/>
    </row>
    <row r="161" spans="1:6" x14ac:dyDescent="0.2">
      <c r="A161" s="61" t="s">
        <v>158</v>
      </c>
      <c r="B161" s="62" t="s">
        <v>159</v>
      </c>
      <c r="C161" s="406" t="s">
        <v>160</v>
      </c>
      <c r="D161" s="407"/>
      <c r="E161" s="63" t="s">
        <v>161</v>
      </c>
      <c r="F161" s="64" t="s">
        <v>162</v>
      </c>
    </row>
    <row r="162" spans="1:6" x14ac:dyDescent="0.2">
      <c r="A162" s="65" t="s">
        <v>188</v>
      </c>
      <c r="B162" s="66" t="s">
        <v>189</v>
      </c>
      <c r="C162" s="67">
        <v>8496</v>
      </c>
      <c r="D162" s="68"/>
      <c r="E162" s="69">
        <v>100</v>
      </c>
      <c r="F162" s="70">
        <f>+C162/E162</f>
        <v>84.96</v>
      </c>
    </row>
    <row r="163" spans="1:6" x14ac:dyDescent="0.2">
      <c r="A163" s="65"/>
      <c r="B163" s="66"/>
      <c r="C163" s="67"/>
      <c r="D163" s="68"/>
      <c r="E163" s="69"/>
      <c r="F163" s="70"/>
    </row>
    <row r="164" spans="1:6" x14ac:dyDescent="0.2">
      <c r="A164" s="65"/>
      <c r="B164" s="66"/>
      <c r="C164" s="67">
        <v>0</v>
      </c>
      <c r="D164" s="68"/>
      <c r="E164" s="71"/>
      <c r="F164" s="70">
        <v>0</v>
      </c>
    </row>
    <row r="165" spans="1:6" x14ac:dyDescent="0.2">
      <c r="A165" s="65"/>
      <c r="B165" s="66"/>
      <c r="C165" s="67">
        <v>0</v>
      </c>
      <c r="D165" s="68"/>
      <c r="E165" s="71"/>
      <c r="F165" s="70">
        <v>0</v>
      </c>
    </row>
    <row r="166" spans="1:6" ht="15" x14ac:dyDescent="0.25">
      <c r="A166" s="72"/>
      <c r="B166" s="73"/>
      <c r="C166" s="408" t="s">
        <v>163</v>
      </c>
      <c r="D166" s="408"/>
      <c r="E166" s="409"/>
      <c r="F166" s="74">
        <f>SUM(F162:F165)</f>
        <v>84.96</v>
      </c>
    </row>
    <row r="167" spans="1:6" x14ac:dyDescent="0.2">
      <c r="A167" s="75" t="s">
        <v>164</v>
      </c>
      <c r="B167" s="76"/>
      <c r="C167" s="76"/>
      <c r="D167" s="77"/>
      <c r="E167" s="78"/>
      <c r="F167" s="79"/>
    </row>
    <row r="168" spans="1:6" x14ac:dyDescent="0.2">
      <c r="A168" s="61" t="s">
        <v>158</v>
      </c>
      <c r="B168" s="62" t="s">
        <v>159</v>
      </c>
      <c r="C168" s="406" t="s">
        <v>7</v>
      </c>
      <c r="D168" s="407"/>
      <c r="E168" s="63" t="s">
        <v>165</v>
      </c>
      <c r="F168" s="64" t="s">
        <v>162</v>
      </c>
    </row>
    <row r="169" spans="1:6" x14ac:dyDescent="0.2">
      <c r="A169" s="118" t="s">
        <v>225</v>
      </c>
      <c r="B169" s="66" t="s">
        <v>15</v>
      </c>
      <c r="C169" s="86">
        <v>1</v>
      </c>
      <c r="D169" s="82"/>
      <c r="E169" s="83">
        <f>+Lista_prec_base!C12</f>
        <v>10000</v>
      </c>
      <c r="F169" s="70">
        <f>+E169*C169</f>
        <v>10000</v>
      </c>
    </row>
    <row r="170" spans="1:6" x14ac:dyDescent="0.2">
      <c r="A170" s="85">
        <v>0</v>
      </c>
      <c r="B170" s="66">
        <v>0</v>
      </c>
      <c r="C170" s="86"/>
      <c r="D170" s="82"/>
      <c r="E170" s="83">
        <v>0</v>
      </c>
      <c r="F170" s="84">
        <v>0</v>
      </c>
    </row>
    <row r="171" spans="1:6" x14ac:dyDescent="0.2">
      <c r="A171" s="65">
        <v>0</v>
      </c>
      <c r="B171" s="66">
        <v>0</v>
      </c>
      <c r="C171" s="87"/>
      <c r="D171" s="82"/>
      <c r="E171" s="83">
        <v>0</v>
      </c>
      <c r="F171" s="84">
        <v>0</v>
      </c>
    </row>
    <row r="172" spans="1:6" x14ac:dyDescent="0.2">
      <c r="A172" s="65">
        <v>0</v>
      </c>
      <c r="B172" s="66">
        <v>0</v>
      </c>
      <c r="C172" s="87"/>
      <c r="D172" s="82"/>
      <c r="E172" s="83">
        <v>0</v>
      </c>
      <c r="F172" s="84">
        <v>0</v>
      </c>
    </row>
    <row r="173" spans="1:6" x14ac:dyDescent="0.2">
      <c r="A173" s="65">
        <v>0</v>
      </c>
      <c r="B173" s="66">
        <v>0</v>
      </c>
      <c r="C173" s="87"/>
      <c r="D173" s="82"/>
      <c r="E173" s="83">
        <v>0</v>
      </c>
      <c r="F173" s="84">
        <v>0</v>
      </c>
    </row>
    <row r="174" spans="1:6" ht="15" x14ac:dyDescent="0.25">
      <c r="A174" s="72"/>
      <c r="B174" s="73"/>
      <c r="C174" s="408" t="s">
        <v>167</v>
      </c>
      <c r="D174" s="408"/>
      <c r="E174" s="409"/>
      <c r="F174" s="74">
        <f>SUM(F169:F173)</f>
        <v>10000</v>
      </c>
    </row>
    <row r="175" spans="1:6" x14ac:dyDescent="0.2">
      <c r="A175" s="72" t="s">
        <v>168</v>
      </c>
      <c r="B175" s="73"/>
      <c r="C175" s="73"/>
      <c r="D175" s="88"/>
      <c r="E175" s="89"/>
      <c r="F175" s="90"/>
    </row>
    <row r="176" spans="1:6" x14ac:dyDescent="0.2">
      <c r="A176" s="61" t="s">
        <v>158</v>
      </c>
      <c r="B176" s="62" t="s">
        <v>159</v>
      </c>
      <c r="C176" s="62" t="s">
        <v>169</v>
      </c>
      <c r="D176" s="91" t="s">
        <v>170</v>
      </c>
      <c r="E176" s="63" t="s">
        <v>161</v>
      </c>
      <c r="F176" s="64" t="s">
        <v>171</v>
      </c>
    </row>
    <row r="177" spans="1:8" x14ac:dyDescent="0.2">
      <c r="A177" s="65" t="s">
        <v>190</v>
      </c>
      <c r="B177" s="92" t="s">
        <v>191</v>
      </c>
      <c r="C177" s="93">
        <v>1.65</v>
      </c>
      <c r="D177" s="94">
        <f>+Lista_prec_base!C43</f>
        <v>67000</v>
      </c>
      <c r="E177" s="95">
        <v>16.66</v>
      </c>
      <c r="F177" s="70">
        <f>+C177*D177/E177</f>
        <v>6635.6542617046816</v>
      </c>
    </row>
    <row r="178" spans="1:8" x14ac:dyDescent="0.2">
      <c r="A178" s="65">
        <v>0</v>
      </c>
      <c r="B178" s="92">
        <v>0</v>
      </c>
      <c r="C178" s="93"/>
      <c r="D178" s="94">
        <v>0</v>
      </c>
      <c r="E178" s="96"/>
      <c r="F178" s="97">
        <v>0</v>
      </c>
    </row>
    <row r="179" spans="1:8" x14ac:dyDescent="0.2">
      <c r="A179" s="65">
        <v>0</v>
      </c>
      <c r="B179" s="92">
        <v>0</v>
      </c>
      <c r="C179" s="93"/>
      <c r="D179" s="94">
        <v>0</v>
      </c>
      <c r="E179" s="96"/>
      <c r="F179" s="97">
        <v>0</v>
      </c>
    </row>
    <row r="180" spans="1:8" ht="15" x14ac:dyDescent="0.25">
      <c r="A180" s="72"/>
      <c r="B180" s="73"/>
      <c r="C180" s="408" t="s">
        <v>172</v>
      </c>
      <c r="D180" s="408"/>
      <c r="E180" s="409"/>
      <c r="F180" s="74">
        <f>+F177</f>
        <v>6635.6542617046816</v>
      </c>
      <c r="H180" s="198">
        <f>+F180/F187</f>
        <v>0.39685469432198789</v>
      </c>
    </row>
    <row r="181" spans="1:8" x14ac:dyDescent="0.2">
      <c r="A181" s="75" t="s">
        <v>173</v>
      </c>
      <c r="B181" s="76"/>
      <c r="C181" s="76"/>
      <c r="D181" s="77"/>
      <c r="E181" s="78"/>
      <c r="F181" s="79"/>
    </row>
    <row r="182" spans="1:8" x14ac:dyDescent="0.2">
      <c r="A182" s="61" t="s">
        <v>158</v>
      </c>
      <c r="B182" s="62" t="s">
        <v>159</v>
      </c>
      <c r="C182" s="62" t="s">
        <v>174</v>
      </c>
      <c r="D182" s="98" t="s">
        <v>175</v>
      </c>
      <c r="E182" s="63" t="s">
        <v>165</v>
      </c>
      <c r="F182" s="64" t="s">
        <v>162</v>
      </c>
    </row>
    <row r="183" spans="1:8" x14ac:dyDescent="0.2">
      <c r="A183" s="65">
        <v>0</v>
      </c>
      <c r="B183" s="66">
        <v>0</v>
      </c>
      <c r="C183" s="99"/>
      <c r="D183" s="81"/>
      <c r="E183" s="83">
        <v>0</v>
      </c>
      <c r="F183" s="84">
        <v>0</v>
      </c>
    </row>
    <row r="184" spans="1:8" x14ac:dyDescent="0.2">
      <c r="A184" s="65">
        <v>0</v>
      </c>
      <c r="B184" s="66">
        <v>0</v>
      </c>
      <c r="C184" s="99"/>
      <c r="D184" s="81"/>
      <c r="E184" s="83">
        <v>0</v>
      </c>
      <c r="F184" s="84">
        <v>0</v>
      </c>
    </row>
    <row r="185" spans="1:8" ht="15" x14ac:dyDescent="0.25">
      <c r="A185" s="72"/>
      <c r="B185" s="73"/>
      <c r="C185" s="408" t="s">
        <v>176</v>
      </c>
      <c r="D185" s="408"/>
      <c r="E185" s="409"/>
      <c r="F185" s="74">
        <v>0</v>
      </c>
    </row>
    <row r="186" spans="1:8" ht="15" thickBot="1" x14ac:dyDescent="0.25">
      <c r="A186" s="75"/>
      <c r="B186" s="76"/>
      <c r="C186" s="76"/>
      <c r="D186" s="77"/>
      <c r="E186" s="78"/>
      <c r="F186" s="79"/>
    </row>
    <row r="187" spans="1:8" ht="15.75" thickBot="1" x14ac:dyDescent="0.3">
      <c r="A187" s="100" t="s">
        <v>177</v>
      </c>
      <c r="B187" s="101"/>
      <c r="C187" s="101"/>
      <c r="D187" s="101"/>
      <c r="E187" s="102"/>
      <c r="F187" s="103">
        <f>+F166+F174+F180+F185</f>
        <v>16720.614261704679</v>
      </c>
    </row>
    <row r="188" spans="1:8" ht="15" x14ac:dyDescent="0.25">
      <c r="A188" s="104" t="s">
        <v>178</v>
      </c>
      <c r="B188" s="105"/>
      <c r="C188" s="105"/>
      <c r="D188" s="105"/>
      <c r="E188" s="105"/>
      <c r="F188" s="106" t="s">
        <v>179</v>
      </c>
    </row>
    <row r="189" spans="1:8" x14ac:dyDescent="0.2">
      <c r="A189" s="399" t="s">
        <v>158</v>
      </c>
      <c r="B189" s="400"/>
      <c r="C189" s="400"/>
      <c r="D189" s="400"/>
      <c r="E189" s="107" t="s">
        <v>144</v>
      </c>
      <c r="F189" s="108"/>
    </row>
    <row r="190" spans="1:8" x14ac:dyDescent="0.2">
      <c r="A190" s="399" t="s">
        <v>180</v>
      </c>
      <c r="B190" s="400"/>
      <c r="C190" s="400"/>
      <c r="D190" s="400"/>
      <c r="E190" s="109">
        <v>0.23</v>
      </c>
      <c r="F190" s="108">
        <f>+E190*F187</f>
        <v>3845.7412801920764</v>
      </c>
    </row>
    <row r="191" spans="1:8" x14ac:dyDescent="0.2">
      <c r="A191" s="399" t="s">
        <v>181</v>
      </c>
      <c r="B191" s="400"/>
      <c r="C191" s="400"/>
      <c r="D191" s="400"/>
      <c r="E191" s="109">
        <v>0.02</v>
      </c>
      <c r="F191" s="108">
        <f>+E191*F187</f>
        <v>334.41228523409359</v>
      </c>
    </row>
    <row r="192" spans="1:8" x14ac:dyDescent="0.2">
      <c r="A192" s="399" t="s">
        <v>182</v>
      </c>
      <c r="B192" s="400"/>
      <c r="C192" s="400"/>
      <c r="D192" s="400"/>
      <c r="E192" s="109">
        <v>0.05</v>
      </c>
      <c r="F192" s="108">
        <f>+E192*F187</f>
        <v>836.03071308523397</v>
      </c>
    </row>
    <row r="193" spans="1:6" x14ac:dyDescent="0.2">
      <c r="A193" s="110" t="s">
        <v>183</v>
      </c>
      <c r="B193" s="111"/>
      <c r="C193" s="111"/>
      <c r="D193" s="111"/>
      <c r="E193" s="109"/>
      <c r="F193" s="108">
        <v>0</v>
      </c>
    </row>
    <row r="194" spans="1:6" ht="15" x14ac:dyDescent="0.2">
      <c r="A194" s="112"/>
      <c r="B194" s="113"/>
      <c r="C194" s="113"/>
      <c r="D194" s="113"/>
      <c r="E194" s="114" t="s">
        <v>184</v>
      </c>
      <c r="F194" s="115">
        <f>+F190+F191+F192</f>
        <v>5016.184278511404</v>
      </c>
    </row>
    <row r="195" spans="1:6" ht="15.75" thickBot="1" x14ac:dyDescent="0.3">
      <c r="A195" s="401" t="s">
        <v>185</v>
      </c>
      <c r="B195" s="402"/>
      <c r="C195" s="402"/>
      <c r="D195" s="402"/>
      <c r="E195" s="402"/>
      <c r="F195" s="116">
        <f>+F187+F194</f>
        <v>21736.798540216085</v>
      </c>
    </row>
    <row r="196" spans="1:6" x14ac:dyDescent="0.2">
      <c r="A196" s="41" t="s">
        <v>153</v>
      </c>
      <c r="B196" s="117" t="s">
        <v>217</v>
      </c>
      <c r="C196" s="43"/>
      <c r="D196" s="44"/>
      <c r="E196" s="45"/>
      <c r="F196" s="46"/>
    </row>
    <row r="197" spans="1:6" x14ac:dyDescent="0.2">
      <c r="A197" s="48" t="s">
        <v>154</v>
      </c>
      <c r="B197" s="403" t="s">
        <v>79</v>
      </c>
      <c r="C197" s="404"/>
      <c r="D197" s="404"/>
      <c r="E197" s="404"/>
      <c r="F197" s="405"/>
    </row>
    <row r="198" spans="1:6" ht="15" thickBot="1" x14ac:dyDescent="0.25">
      <c r="A198" s="50" t="s">
        <v>156</v>
      </c>
      <c r="B198" s="51" t="s">
        <v>15</v>
      </c>
      <c r="C198" s="52"/>
      <c r="D198" s="53"/>
      <c r="E198" s="52"/>
      <c r="F198" s="54"/>
    </row>
    <row r="199" spans="1:6" x14ac:dyDescent="0.2">
      <c r="A199" s="55" t="s">
        <v>157</v>
      </c>
      <c r="B199" s="56"/>
      <c r="C199" s="57"/>
      <c r="D199" s="58"/>
      <c r="E199" s="59"/>
      <c r="F199" s="60"/>
    </row>
    <row r="200" spans="1:6" x14ac:dyDescent="0.2">
      <c r="A200" s="61" t="s">
        <v>158</v>
      </c>
      <c r="B200" s="62" t="s">
        <v>159</v>
      </c>
      <c r="C200" s="406" t="s">
        <v>160</v>
      </c>
      <c r="D200" s="407"/>
      <c r="E200" s="63" t="s">
        <v>161</v>
      </c>
      <c r="F200" s="64" t="s">
        <v>162</v>
      </c>
    </row>
    <row r="201" spans="1:6" x14ac:dyDescent="0.2">
      <c r="A201" s="65" t="s">
        <v>188</v>
      </c>
      <c r="B201" s="66" t="s">
        <v>189</v>
      </c>
      <c r="C201" s="67">
        <v>8496</v>
      </c>
      <c r="D201" s="68"/>
      <c r="E201" s="69">
        <v>100</v>
      </c>
      <c r="F201" s="70">
        <f>+C201/E201</f>
        <v>84.96</v>
      </c>
    </row>
    <row r="202" spans="1:6" x14ac:dyDescent="0.2">
      <c r="A202" s="65"/>
      <c r="B202" s="66"/>
      <c r="C202" s="67"/>
      <c r="D202" s="68"/>
      <c r="E202" s="69"/>
      <c r="F202" s="70"/>
    </row>
    <row r="203" spans="1:6" x14ac:dyDescent="0.2">
      <c r="A203" s="65"/>
      <c r="B203" s="66"/>
      <c r="C203" s="67">
        <v>0</v>
      </c>
      <c r="D203" s="68"/>
      <c r="E203" s="71"/>
      <c r="F203" s="70">
        <v>0</v>
      </c>
    </row>
    <row r="204" spans="1:6" x14ac:dyDescent="0.2">
      <c r="A204" s="65"/>
      <c r="B204" s="66"/>
      <c r="C204" s="67">
        <v>0</v>
      </c>
      <c r="D204" s="68"/>
      <c r="E204" s="71"/>
      <c r="F204" s="70">
        <v>0</v>
      </c>
    </row>
    <row r="205" spans="1:6" ht="15" x14ac:dyDescent="0.25">
      <c r="A205" s="72"/>
      <c r="B205" s="73"/>
      <c r="C205" s="408" t="s">
        <v>163</v>
      </c>
      <c r="D205" s="408"/>
      <c r="E205" s="409"/>
      <c r="F205" s="74">
        <f>SUM(F201:F204)</f>
        <v>84.96</v>
      </c>
    </row>
    <row r="206" spans="1:6" x14ac:dyDescent="0.2">
      <c r="A206" s="75" t="s">
        <v>164</v>
      </c>
      <c r="B206" s="76"/>
      <c r="C206" s="76"/>
      <c r="D206" s="77"/>
      <c r="E206" s="78"/>
      <c r="F206" s="79"/>
    </row>
    <row r="207" spans="1:6" x14ac:dyDescent="0.2">
      <c r="A207" s="61" t="s">
        <v>158</v>
      </c>
      <c r="B207" s="62" t="s">
        <v>159</v>
      </c>
      <c r="C207" s="406" t="s">
        <v>7</v>
      </c>
      <c r="D207" s="407"/>
      <c r="E207" s="63" t="s">
        <v>165</v>
      </c>
      <c r="F207" s="64" t="s">
        <v>162</v>
      </c>
    </row>
    <row r="208" spans="1:6" x14ac:dyDescent="0.2">
      <c r="A208" s="80" t="s">
        <v>255</v>
      </c>
      <c r="B208" s="66" t="s">
        <v>15</v>
      </c>
      <c r="C208" s="86">
        <v>1</v>
      </c>
      <c r="D208" s="82"/>
      <c r="E208" s="83">
        <f>+Lista_prec_base!C13</f>
        <v>700</v>
      </c>
      <c r="F208" s="70">
        <f>+E208*C208</f>
        <v>700</v>
      </c>
    </row>
    <row r="209" spans="1:6" x14ac:dyDescent="0.2">
      <c r="A209" s="85">
        <v>0</v>
      </c>
      <c r="B209" s="66">
        <v>0</v>
      </c>
      <c r="C209" s="86"/>
      <c r="D209" s="82"/>
      <c r="E209" s="83">
        <v>0</v>
      </c>
      <c r="F209" s="84">
        <v>0</v>
      </c>
    </row>
    <row r="210" spans="1:6" x14ac:dyDescent="0.2">
      <c r="A210" s="65">
        <v>0</v>
      </c>
      <c r="B210" s="66">
        <v>0</v>
      </c>
      <c r="C210" s="87"/>
      <c r="D210" s="82"/>
      <c r="E210" s="83">
        <v>0</v>
      </c>
      <c r="F210" s="84">
        <v>0</v>
      </c>
    </row>
    <row r="211" spans="1:6" x14ac:dyDescent="0.2">
      <c r="A211" s="65">
        <v>0</v>
      </c>
      <c r="B211" s="66">
        <v>0</v>
      </c>
      <c r="C211" s="87"/>
      <c r="D211" s="82"/>
      <c r="E211" s="83">
        <v>0</v>
      </c>
      <c r="F211" s="84">
        <v>0</v>
      </c>
    </row>
    <row r="212" spans="1:6" x14ac:dyDescent="0.2">
      <c r="A212" s="65">
        <v>0</v>
      </c>
      <c r="B212" s="66">
        <v>0</v>
      </c>
      <c r="C212" s="87"/>
      <c r="D212" s="82"/>
      <c r="E212" s="83">
        <v>0</v>
      </c>
      <c r="F212" s="84">
        <v>0</v>
      </c>
    </row>
    <row r="213" spans="1:6" ht="15" x14ac:dyDescent="0.25">
      <c r="A213" s="72"/>
      <c r="B213" s="73"/>
      <c r="C213" s="408" t="s">
        <v>167</v>
      </c>
      <c r="D213" s="408"/>
      <c r="E213" s="409"/>
      <c r="F213" s="74">
        <f>SUM(F208:F212)</f>
        <v>700</v>
      </c>
    </row>
    <row r="214" spans="1:6" x14ac:dyDescent="0.2">
      <c r="A214" s="72" t="s">
        <v>168</v>
      </c>
      <c r="B214" s="73"/>
      <c r="C214" s="73"/>
      <c r="D214" s="88"/>
      <c r="E214" s="89"/>
      <c r="F214" s="90"/>
    </row>
    <row r="215" spans="1:6" x14ac:dyDescent="0.2">
      <c r="A215" s="61" t="s">
        <v>158</v>
      </c>
      <c r="B215" s="62" t="s">
        <v>159</v>
      </c>
      <c r="C215" s="62" t="s">
        <v>169</v>
      </c>
      <c r="D215" s="91" t="s">
        <v>170</v>
      </c>
      <c r="E215" s="63" t="s">
        <v>161</v>
      </c>
      <c r="F215" s="64" t="s">
        <v>171</v>
      </c>
    </row>
    <row r="216" spans="1:6" x14ac:dyDescent="0.2">
      <c r="A216" s="65" t="s">
        <v>190</v>
      </c>
      <c r="B216" s="92" t="s">
        <v>191</v>
      </c>
      <c r="C216" s="93">
        <v>1.65</v>
      </c>
      <c r="D216" s="94">
        <f>+Lista_prec_base!C43</f>
        <v>67000</v>
      </c>
      <c r="E216" s="95">
        <v>355.97300000000001</v>
      </c>
      <c r="F216" s="70">
        <f>+C216*D216/E216</f>
        <v>310.55726136532826</v>
      </c>
    </row>
    <row r="217" spans="1:6" x14ac:dyDescent="0.2">
      <c r="A217" s="65">
        <v>0</v>
      </c>
      <c r="B217" s="92">
        <v>0</v>
      </c>
      <c r="C217" s="93"/>
      <c r="D217" s="94">
        <v>0</v>
      </c>
      <c r="E217" s="96"/>
      <c r="F217" s="97">
        <v>0</v>
      </c>
    </row>
    <row r="218" spans="1:6" x14ac:dyDescent="0.2">
      <c r="A218" s="65">
        <v>0</v>
      </c>
      <c r="B218" s="92">
        <v>0</v>
      </c>
      <c r="C218" s="93"/>
      <c r="D218" s="94">
        <v>0</v>
      </c>
      <c r="E218" s="96"/>
      <c r="F218" s="97">
        <v>0</v>
      </c>
    </row>
    <row r="219" spans="1:6" ht="15" x14ac:dyDescent="0.25">
      <c r="A219" s="72"/>
      <c r="B219" s="73"/>
      <c r="C219" s="408" t="s">
        <v>172</v>
      </c>
      <c r="D219" s="408"/>
      <c r="E219" s="409"/>
      <c r="F219" s="74">
        <f>+F216</f>
        <v>310.55726136532826</v>
      </c>
    </row>
    <row r="220" spans="1:6" x14ac:dyDescent="0.2">
      <c r="A220" s="75" t="s">
        <v>173</v>
      </c>
      <c r="B220" s="76"/>
      <c r="C220" s="76"/>
      <c r="D220" s="77"/>
      <c r="E220" s="78"/>
      <c r="F220" s="79"/>
    </row>
    <row r="221" spans="1:6" x14ac:dyDescent="0.2">
      <c r="A221" s="61" t="s">
        <v>158</v>
      </c>
      <c r="B221" s="62" t="s">
        <v>159</v>
      </c>
      <c r="C221" s="62" t="s">
        <v>174</v>
      </c>
      <c r="D221" s="98" t="s">
        <v>175</v>
      </c>
      <c r="E221" s="63" t="s">
        <v>165</v>
      </c>
      <c r="F221" s="64" t="s">
        <v>162</v>
      </c>
    </row>
    <row r="222" spans="1:6" x14ac:dyDescent="0.2">
      <c r="A222" s="65">
        <v>0</v>
      </c>
      <c r="B222" s="66">
        <v>0</v>
      </c>
      <c r="C222" s="99"/>
      <c r="D222" s="81"/>
      <c r="E222" s="83">
        <v>0</v>
      </c>
      <c r="F222" s="84">
        <v>0</v>
      </c>
    </row>
    <row r="223" spans="1:6" x14ac:dyDescent="0.2">
      <c r="A223" s="65">
        <v>0</v>
      </c>
      <c r="B223" s="66">
        <v>0</v>
      </c>
      <c r="C223" s="99"/>
      <c r="D223" s="81"/>
      <c r="E223" s="83">
        <v>0</v>
      </c>
      <c r="F223" s="84">
        <v>0</v>
      </c>
    </row>
    <row r="224" spans="1:6" ht="15" x14ac:dyDescent="0.25">
      <c r="A224" s="72"/>
      <c r="B224" s="73"/>
      <c r="C224" s="408" t="s">
        <v>176</v>
      </c>
      <c r="D224" s="408"/>
      <c r="E224" s="409"/>
      <c r="F224" s="74">
        <v>0</v>
      </c>
    </row>
    <row r="225" spans="1:6" ht="15" thickBot="1" x14ac:dyDescent="0.25">
      <c r="A225" s="75"/>
      <c r="B225" s="76"/>
      <c r="C225" s="76"/>
      <c r="D225" s="77"/>
      <c r="E225" s="78"/>
      <c r="F225" s="79"/>
    </row>
    <row r="226" spans="1:6" ht="15.75" thickBot="1" x14ac:dyDescent="0.3">
      <c r="A226" s="100" t="s">
        <v>177</v>
      </c>
      <c r="B226" s="101"/>
      <c r="C226" s="101"/>
      <c r="D226" s="101"/>
      <c r="E226" s="102"/>
      <c r="F226" s="103">
        <f>+F205+F213+F219+F224</f>
        <v>1095.5172613653283</v>
      </c>
    </row>
    <row r="227" spans="1:6" ht="15" x14ac:dyDescent="0.25">
      <c r="A227" s="104" t="s">
        <v>178</v>
      </c>
      <c r="B227" s="105"/>
      <c r="C227" s="105"/>
      <c r="D227" s="105"/>
      <c r="E227" s="105"/>
      <c r="F227" s="106" t="s">
        <v>179</v>
      </c>
    </row>
    <row r="228" spans="1:6" x14ac:dyDescent="0.2">
      <c r="A228" s="399" t="s">
        <v>158</v>
      </c>
      <c r="B228" s="400"/>
      <c r="C228" s="400"/>
      <c r="D228" s="400"/>
      <c r="E228" s="107" t="s">
        <v>144</v>
      </c>
      <c r="F228" s="108"/>
    </row>
    <row r="229" spans="1:6" x14ac:dyDescent="0.2">
      <c r="A229" s="399" t="s">
        <v>180</v>
      </c>
      <c r="B229" s="400"/>
      <c r="C229" s="400"/>
      <c r="D229" s="400"/>
      <c r="E229" s="109">
        <v>0.23</v>
      </c>
      <c r="F229" s="108">
        <f>+E229*F226</f>
        <v>251.96897011402552</v>
      </c>
    </row>
    <row r="230" spans="1:6" x14ac:dyDescent="0.2">
      <c r="A230" s="399" t="s">
        <v>181</v>
      </c>
      <c r="B230" s="400"/>
      <c r="C230" s="400"/>
      <c r="D230" s="400"/>
      <c r="E230" s="109">
        <v>0.02</v>
      </c>
      <c r="F230" s="108">
        <f>+E230*F226</f>
        <v>21.910345227306568</v>
      </c>
    </row>
    <row r="231" spans="1:6" x14ac:dyDescent="0.2">
      <c r="A231" s="399" t="s">
        <v>182</v>
      </c>
      <c r="B231" s="400"/>
      <c r="C231" s="400"/>
      <c r="D231" s="400"/>
      <c r="E231" s="109">
        <v>0.05</v>
      </c>
      <c r="F231" s="108">
        <f>+E231*F226</f>
        <v>54.775863068266418</v>
      </c>
    </row>
    <row r="232" spans="1:6" x14ac:dyDescent="0.2">
      <c r="A232" s="110" t="s">
        <v>183</v>
      </c>
      <c r="B232" s="111"/>
      <c r="C232" s="111"/>
      <c r="D232" s="111"/>
      <c r="E232" s="109"/>
      <c r="F232" s="108">
        <v>0</v>
      </c>
    </row>
    <row r="233" spans="1:6" ht="15" x14ac:dyDescent="0.2">
      <c r="A233" s="112"/>
      <c r="B233" s="113"/>
      <c r="C233" s="113"/>
      <c r="D233" s="113"/>
      <c r="E233" s="114" t="s">
        <v>184</v>
      </c>
      <c r="F233" s="115">
        <f>+F229+F230+F231</f>
        <v>328.65517840959848</v>
      </c>
    </row>
    <row r="234" spans="1:6" ht="15.75" thickBot="1" x14ac:dyDescent="0.3">
      <c r="A234" s="401" t="s">
        <v>185</v>
      </c>
      <c r="B234" s="402"/>
      <c r="C234" s="402"/>
      <c r="D234" s="402"/>
      <c r="E234" s="402"/>
      <c r="F234" s="116">
        <f>+F226+F233</f>
        <v>1424.1724397749267</v>
      </c>
    </row>
    <row r="235" spans="1:6" x14ac:dyDescent="0.2">
      <c r="A235" s="41" t="s">
        <v>153</v>
      </c>
      <c r="B235" s="117" t="s">
        <v>77</v>
      </c>
      <c r="C235" s="43"/>
      <c r="D235" s="44"/>
      <c r="E235" s="45"/>
      <c r="F235" s="46"/>
    </row>
    <row r="236" spans="1:6" x14ac:dyDescent="0.2">
      <c r="A236" s="48" t="s">
        <v>154</v>
      </c>
      <c r="B236" s="403" t="s">
        <v>78</v>
      </c>
      <c r="C236" s="404"/>
      <c r="D236" s="404"/>
      <c r="E236" s="404"/>
      <c r="F236" s="405"/>
    </row>
    <row r="237" spans="1:6" ht="15" thickBot="1" x14ac:dyDescent="0.25">
      <c r="A237" s="50" t="s">
        <v>156</v>
      </c>
      <c r="B237" s="51" t="s">
        <v>15</v>
      </c>
      <c r="C237" s="52"/>
      <c r="D237" s="53"/>
      <c r="E237" s="52"/>
      <c r="F237" s="54"/>
    </row>
    <row r="238" spans="1:6" x14ac:dyDescent="0.2">
      <c r="A238" s="55" t="s">
        <v>157</v>
      </c>
      <c r="B238" s="56"/>
      <c r="C238" s="57"/>
      <c r="D238" s="58"/>
      <c r="E238" s="59"/>
      <c r="F238" s="60"/>
    </row>
    <row r="239" spans="1:6" x14ac:dyDescent="0.2">
      <c r="A239" s="61" t="s">
        <v>158</v>
      </c>
      <c r="B239" s="62" t="s">
        <v>159</v>
      </c>
      <c r="C239" s="406" t="s">
        <v>160</v>
      </c>
      <c r="D239" s="407"/>
      <c r="E239" s="63" t="s">
        <v>161</v>
      </c>
      <c r="F239" s="64" t="s">
        <v>162</v>
      </c>
    </row>
    <row r="240" spans="1:6" x14ac:dyDescent="0.2">
      <c r="A240" s="65" t="s">
        <v>188</v>
      </c>
      <c r="B240" s="66" t="s">
        <v>189</v>
      </c>
      <c r="C240" s="67">
        <v>8496</v>
      </c>
      <c r="D240" s="68"/>
      <c r="E240" s="69">
        <v>1</v>
      </c>
      <c r="F240" s="70">
        <f>+C240/E240</f>
        <v>8496</v>
      </c>
    </row>
    <row r="241" spans="1:6" x14ac:dyDescent="0.2">
      <c r="A241" s="65"/>
      <c r="B241" s="66"/>
      <c r="C241" s="67"/>
      <c r="D241" s="68"/>
      <c r="E241" s="69"/>
      <c r="F241" s="70"/>
    </row>
    <row r="242" spans="1:6" x14ac:dyDescent="0.2">
      <c r="A242" s="65"/>
      <c r="B242" s="66"/>
      <c r="C242" s="67">
        <v>0</v>
      </c>
      <c r="D242" s="68"/>
      <c r="E242" s="71"/>
      <c r="F242" s="70">
        <v>0</v>
      </c>
    </row>
    <row r="243" spans="1:6" x14ac:dyDescent="0.2">
      <c r="A243" s="65"/>
      <c r="B243" s="66"/>
      <c r="C243" s="67">
        <v>0</v>
      </c>
      <c r="D243" s="68"/>
      <c r="E243" s="71"/>
      <c r="F243" s="70">
        <v>0</v>
      </c>
    </row>
    <row r="244" spans="1:6" ht="15" x14ac:dyDescent="0.25">
      <c r="A244" s="72"/>
      <c r="B244" s="73"/>
      <c r="C244" s="408" t="s">
        <v>163</v>
      </c>
      <c r="D244" s="408"/>
      <c r="E244" s="409"/>
      <c r="F244" s="74">
        <f>SUM(F240:F243)</f>
        <v>8496</v>
      </c>
    </row>
    <row r="245" spans="1:6" x14ac:dyDescent="0.2">
      <c r="A245" s="75" t="s">
        <v>164</v>
      </c>
      <c r="B245" s="76"/>
      <c r="C245" s="76"/>
      <c r="D245" s="77"/>
      <c r="E245" s="78"/>
      <c r="F245" s="79"/>
    </row>
    <row r="246" spans="1:6" x14ac:dyDescent="0.2">
      <c r="A246" s="61" t="s">
        <v>158</v>
      </c>
      <c r="B246" s="62" t="s">
        <v>159</v>
      </c>
      <c r="C246" s="406" t="s">
        <v>7</v>
      </c>
      <c r="D246" s="407"/>
      <c r="E246" s="63" t="s">
        <v>165</v>
      </c>
      <c r="F246" s="64" t="s">
        <v>162</v>
      </c>
    </row>
    <row r="247" spans="1:6" x14ac:dyDescent="0.2">
      <c r="A247" s="118" t="s">
        <v>256</v>
      </c>
      <c r="B247" s="66" t="s">
        <v>15</v>
      </c>
      <c r="C247" s="86">
        <v>1</v>
      </c>
      <c r="D247" s="82"/>
      <c r="E247" s="83">
        <f>+Lista_prec_base!C14</f>
        <v>130000</v>
      </c>
      <c r="F247" s="70">
        <f>+E247*C247</f>
        <v>130000</v>
      </c>
    </row>
    <row r="248" spans="1:6" x14ac:dyDescent="0.2">
      <c r="A248" s="85">
        <v>0</v>
      </c>
      <c r="B248" s="66">
        <v>0</v>
      </c>
      <c r="C248" s="86"/>
      <c r="D248" s="82"/>
      <c r="E248" s="83">
        <v>0</v>
      </c>
      <c r="F248" s="84">
        <v>0</v>
      </c>
    </row>
    <row r="249" spans="1:6" x14ac:dyDescent="0.2">
      <c r="A249" s="65">
        <v>0</v>
      </c>
      <c r="B249" s="66">
        <v>0</v>
      </c>
      <c r="C249" s="87"/>
      <c r="D249" s="82"/>
      <c r="E249" s="83">
        <v>0</v>
      </c>
      <c r="F249" s="84">
        <v>0</v>
      </c>
    </row>
    <row r="250" spans="1:6" x14ac:dyDescent="0.2">
      <c r="A250" s="65">
        <v>0</v>
      </c>
      <c r="B250" s="66">
        <v>0</v>
      </c>
      <c r="C250" s="87"/>
      <c r="D250" s="82"/>
      <c r="E250" s="83">
        <v>0</v>
      </c>
      <c r="F250" s="84">
        <v>0</v>
      </c>
    </row>
    <row r="251" spans="1:6" x14ac:dyDescent="0.2">
      <c r="A251" s="65">
        <v>0</v>
      </c>
      <c r="B251" s="66">
        <v>0</v>
      </c>
      <c r="C251" s="87"/>
      <c r="D251" s="82"/>
      <c r="E251" s="83">
        <v>0</v>
      </c>
      <c r="F251" s="84">
        <v>0</v>
      </c>
    </row>
    <row r="252" spans="1:6" ht="15" x14ac:dyDescent="0.25">
      <c r="A252" s="72"/>
      <c r="B252" s="73"/>
      <c r="C252" s="408" t="s">
        <v>167</v>
      </c>
      <c r="D252" s="408"/>
      <c r="E252" s="409"/>
      <c r="F252" s="74">
        <f>SUM(F247:F251)</f>
        <v>130000</v>
      </c>
    </row>
    <row r="253" spans="1:6" x14ac:dyDescent="0.2">
      <c r="A253" s="72" t="s">
        <v>168</v>
      </c>
      <c r="B253" s="73"/>
      <c r="C253" s="73"/>
      <c r="D253" s="88"/>
      <c r="E253" s="89"/>
      <c r="F253" s="90"/>
    </row>
    <row r="254" spans="1:6" x14ac:dyDescent="0.2">
      <c r="A254" s="61" t="s">
        <v>158</v>
      </c>
      <c r="B254" s="62" t="s">
        <v>159</v>
      </c>
      <c r="C254" s="62" t="s">
        <v>169</v>
      </c>
      <c r="D254" s="91" t="s">
        <v>170</v>
      </c>
      <c r="E254" s="63" t="s">
        <v>161</v>
      </c>
      <c r="F254" s="64" t="s">
        <v>171</v>
      </c>
    </row>
    <row r="255" spans="1:6" x14ac:dyDescent="0.2">
      <c r="A255" s="65" t="s">
        <v>190</v>
      </c>
      <c r="B255" s="92" t="s">
        <v>191</v>
      </c>
      <c r="C255" s="93">
        <v>1.65</v>
      </c>
      <c r="D255" s="94">
        <f>+Lista_prec_base!C43</f>
        <v>67000</v>
      </c>
      <c r="E255" s="95">
        <v>1.5389999999999999</v>
      </c>
      <c r="F255" s="70">
        <f>+C255*D255/E255</f>
        <v>71832.358674463947</v>
      </c>
    </row>
    <row r="256" spans="1:6" x14ac:dyDescent="0.2">
      <c r="A256" s="65">
        <v>0</v>
      </c>
      <c r="B256" s="92">
        <v>0</v>
      </c>
      <c r="C256" s="93"/>
      <c r="D256" s="94">
        <v>0</v>
      </c>
      <c r="E256" s="96"/>
      <c r="F256" s="97">
        <v>0</v>
      </c>
    </row>
    <row r="257" spans="1:6" x14ac:dyDescent="0.2">
      <c r="A257" s="65">
        <v>0</v>
      </c>
      <c r="B257" s="92">
        <v>0</v>
      </c>
      <c r="C257" s="93"/>
      <c r="D257" s="94">
        <v>0</v>
      </c>
      <c r="E257" s="96"/>
      <c r="F257" s="97">
        <v>0</v>
      </c>
    </row>
    <row r="258" spans="1:6" ht="15" x14ac:dyDescent="0.25">
      <c r="A258" s="72"/>
      <c r="B258" s="73"/>
      <c r="C258" s="408" t="s">
        <v>172</v>
      </c>
      <c r="D258" s="408"/>
      <c r="E258" s="409"/>
      <c r="F258" s="74">
        <f>+F255</f>
        <v>71832.358674463947</v>
      </c>
    </row>
    <row r="259" spans="1:6" x14ac:dyDescent="0.2">
      <c r="A259" s="75" t="s">
        <v>173</v>
      </c>
      <c r="B259" s="76"/>
      <c r="C259" s="76"/>
      <c r="D259" s="77"/>
      <c r="E259" s="78"/>
      <c r="F259" s="79"/>
    </row>
    <row r="260" spans="1:6" x14ac:dyDescent="0.2">
      <c r="A260" s="61" t="s">
        <v>158</v>
      </c>
      <c r="B260" s="62" t="s">
        <v>159</v>
      </c>
      <c r="C260" s="62" t="s">
        <v>174</v>
      </c>
      <c r="D260" s="98" t="s">
        <v>175</v>
      </c>
      <c r="E260" s="63" t="s">
        <v>165</v>
      </c>
      <c r="F260" s="64" t="s">
        <v>162</v>
      </c>
    </row>
    <row r="261" spans="1:6" x14ac:dyDescent="0.2">
      <c r="A261" s="65">
        <v>0</v>
      </c>
      <c r="B261" s="66">
        <v>0</v>
      </c>
      <c r="C261" s="99"/>
      <c r="D261" s="81"/>
      <c r="E261" s="83">
        <v>0</v>
      </c>
      <c r="F261" s="84">
        <v>0</v>
      </c>
    </row>
    <row r="262" spans="1:6" x14ac:dyDescent="0.2">
      <c r="A262" s="65">
        <v>0</v>
      </c>
      <c r="B262" s="66">
        <v>0</v>
      </c>
      <c r="C262" s="99"/>
      <c r="D262" s="81"/>
      <c r="E262" s="83">
        <v>0</v>
      </c>
      <c r="F262" s="84">
        <v>0</v>
      </c>
    </row>
    <row r="263" spans="1:6" ht="15" x14ac:dyDescent="0.25">
      <c r="A263" s="72"/>
      <c r="B263" s="73"/>
      <c r="C263" s="408" t="s">
        <v>176</v>
      </c>
      <c r="D263" s="408"/>
      <c r="E263" s="409"/>
      <c r="F263" s="74">
        <v>0</v>
      </c>
    </row>
    <row r="264" spans="1:6" ht="15" thickBot="1" x14ac:dyDescent="0.25">
      <c r="A264" s="75"/>
      <c r="B264" s="76"/>
      <c r="C264" s="76"/>
      <c r="D264" s="77"/>
      <c r="E264" s="78"/>
      <c r="F264" s="79"/>
    </row>
    <row r="265" spans="1:6" ht="15.75" thickBot="1" x14ac:dyDescent="0.3">
      <c r="A265" s="100" t="s">
        <v>177</v>
      </c>
      <c r="B265" s="101"/>
      <c r="C265" s="101"/>
      <c r="D265" s="101"/>
      <c r="E265" s="102"/>
      <c r="F265" s="103">
        <f>+F244+F252+F258+F263</f>
        <v>210328.35867446393</v>
      </c>
    </row>
    <row r="266" spans="1:6" ht="15" x14ac:dyDescent="0.25">
      <c r="A266" s="104" t="s">
        <v>178</v>
      </c>
      <c r="B266" s="105"/>
      <c r="C266" s="105"/>
      <c r="D266" s="105"/>
      <c r="E266" s="105"/>
      <c r="F266" s="106" t="s">
        <v>179</v>
      </c>
    </row>
    <row r="267" spans="1:6" x14ac:dyDescent="0.2">
      <c r="A267" s="399" t="s">
        <v>158</v>
      </c>
      <c r="B267" s="400"/>
      <c r="C267" s="400"/>
      <c r="D267" s="400"/>
      <c r="E267" s="107" t="s">
        <v>144</v>
      </c>
      <c r="F267" s="108"/>
    </row>
    <row r="268" spans="1:6" x14ac:dyDescent="0.2">
      <c r="A268" s="399" t="s">
        <v>180</v>
      </c>
      <c r="B268" s="400"/>
      <c r="C268" s="400"/>
      <c r="D268" s="400"/>
      <c r="E268" s="109">
        <v>0.23</v>
      </c>
      <c r="F268" s="108">
        <f>+E268*F265</f>
        <v>48375.522495126708</v>
      </c>
    </row>
    <row r="269" spans="1:6" x14ac:dyDescent="0.2">
      <c r="A269" s="399" t="s">
        <v>181</v>
      </c>
      <c r="B269" s="400"/>
      <c r="C269" s="400"/>
      <c r="D269" s="400"/>
      <c r="E269" s="109">
        <v>0.02</v>
      </c>
      <c r="F269" s="108">
        <f>+E269*F265</f>
        <v>4206.5671734892785</v>
      </c>
    </row>
    <row r="270" spans="1:6" x14ac:dyDescent="0.2">
      <c r="A270" s="399" t="s">
        <v>182</v>
      </c>
      <c r="B270" s="400"/>
      <c r="C270" s="400"/>
      <c r="D270" s="400"/>
      <c r="E270" s="109">
        <v>0.05</v>
      </c>
      <c r="F270" s="108">
        <f>+E270*F265</f>
        <v>10516.417933723198</v>
      </c>
    </row>
    <row r="271" spans="1:6" x14ac:dyDescent="0.2">
      <c r="A271" s="110" t="s">
        <v>183</v>
      </c>
      <c r="B271" s="111"/>
      <c r="C271" s="111"/>
      <c r="D271" s="111"/>
      <c r="E271" s="109"/>
      <c r="F271" s="108">
        <v>0</v>
      </c>
    </row>
    <row r="272" spans="1:6" ht="15" x14ac:dyDescent="0.2">
      <c r="A272" s="112"/>
      <c r="B272" s="113"/>
      <c r="C272" s="113"/>
      <c r="D272" s="113"/>
      <c r="E272" s="114" t="s">
        <v>184</v>
      </c>
      <c r="F272" s="115">
        <f>+F268+F269+F270</f>
        <v>63098.507602339181</v>
      </c>
    </row>
    <row r="273" spans="1:6" ht="15.75" thickBot="1" x14ac:dyDescent="0.3">
      <c r="A273" s="401" t="s">
        <v>185</v>
      </c>
      <c r="B273" s="402"/>
      <c r="C273" s="402"/>
      <c r="D273" s="402"/>
      <c r="E273" s="402"/>
      <c r="F273" s="116">
        <f>+F265+F272</f>
        <v>273426.86627680314</v>
      </c>
    </row>
    <row r="274" spans="1:6" x14ac:dyDescent="0.2">
      <c r="A274" s="41" t="s">
        <v>153</v>
      </c>
      <c r="B274" s="117" t="s">
        <v>218</v>
      </c>
      <c r="C274" s="43"/>
      <c r="D274" s="44"/>
      <c r="E274" s="45"/>
      <c r="F274" s="46"/>
    </row>
    <row r="275" spans="1:6" x14ac:dyDescent="0.2">
      <c r="A275" s="48" t="s">
        <v>154</v>
      </c>
      <c r="B275" s="403" t="s">
        <v>80</v>
      </c>
      <c r="C275" s="404"/>
      <c r="D275" s="404"/>
      <c r="E275" s="404"/>
      <c r="F275" s="405"/>
    </row>
    <row r="276" spans="1:6" ht="15" thickBot="1" x14ac:dyDescent="0.25">
      <c r="A276" s="50" t="s">
        <v>156</v>
      </c>
      <c r="B276" s="51" t="s">
        <v>15</v>
      </c>
      <c r="C276" s="52"/>
      <c r="D276" s="53"/>
      <c r="E276" s="52"/>
      <c r="F276" s="54"/>
    </row>
    <row r="277" spans="1:6" x14ac:dyDescent="0.2">
      <c r="A277" s="55" t="s">
        <v>157</v>
      </c>
      <c r="B277" s="56"/>
      <c r="C277" s="57"/>
      <c r="D277" s="58"/>
      <c r="E277" s="59"/>
      <c r="F277" s="60"/>
    </row>
    <row r="278" spans="1:6" x14ac:dyDescent="0.2">
      <c r="A278" s="61" t="s">
        <v>158</v>
      </c>
      <c r="B278" s="62" t="s">
        <v>159</v>
      </c>
      <c r="C278" s="406" t="s">
        <v>160</v>
      </c>
      <c r="D278" s="407"/>
      <c r="E278" s="63" t="s">
        <v>161</v>
      </c>
      <c r="F278" s="64" t="s">
        <v>162</v>
      </c>
    </row>
    <row r="279" spans="1:6" x14ac:dyDescent="0.2">
      <c r="A279" s="65" t="s">
        <v>188</v>
      </c>
      <c r="B279" s="66" t="s">
        <v>189</v>
      </c>
      <c r="C279" s="67">
        <v>8496</v>
      </c>
      <c r="D279" s="68"/>
      <c r="E279" s="69">
        <v>1</v>
      </c>
      <c r="F279" s="70">
        <f>+C279/E279</f>
        <v>8496</v>
      </c>
    </row>
    <row r="280" spans="1:6" x14ac:dyDescent="0.2">
      <c r="A280" s="65"/>
      <c r="B280" s="66"/>
      <c r="C280" s="67"/>
      <c r="D280" s="68"/>
      <c r="E280" s="69"/>
      <c r="F280" s="70"/>
    </row>
    <row r="281" spans="1:6" x14ac:dyDescent="0.2">
      <c r="A281" s="65"/>
      <c r="B281" s="66"/>
      <c r="C281" s="67">
        <v>0</v>
      </c>
      <c r="D281" s="68"/>
      <c r="E281" s="71"/>
      <c r="F281" s="70">
        <v>0</v>
      </c>
    </row>
    <row r="282" spans="1:6" x14ac:dyDescent="0.2">
      <c r="A282" s="65"/>
      <c r="B282" s="66"/>
      <c r="C282" s="67">
        <v>0</v>
      </c>
      <c r="D282" s="68"/>
      <c r="E282" s="71"/>
      <c r="F282" s="70">
        <v>0</v>
      </c>
    </row>
    <row r="283" spans="1:6" ht="15" x14ac:dyDescent="0.25">
      <c r="A283" s="72"/>
      <c r="B283" s="73"/>
      <c r="C283" s="408" t="s">
        <v>163</v>
      </c>
      <c r="D283" s="408"/>
      <c r="E283" s="409"/>
      <c r="F283" s="74">
        <f>SUM(F279:F282)</f>
        <v>8496</v>
      </c>
    </row>
    <row r="284" spans="1:6" x14ac:dyDescent="0.2">
      <c r="A284" s="75" t="s">
        <v>164</v>
      </c>
      <c r="B284" s="76"/>
      <c r="C284" s="76"/>
      <c r="D284" s="77"/>
      <c r="E284" s="78"/>
      <c r="F284" s="79"/>
    </row>
    <row r="285" spans="1:6" x14ac:dyDescent="0.2">
      <c r="A285" s="61" t="s">
        <v>158</v>
      </c>
      <c r="B285" s="62" t="s">
        <v>159</v>
      </c>
      <c r="C285" s="406" t="s">
        <v>7</v>
      </c>
      <c r="D285" s="407"/>
      <c r="E285" s="63" t="s">
        <v>165</v>
      </c>
      <c r="F285" s="64" t="s">
        <v>162</v>
      </c>
    </row>
    <row r="286" spans="1:6" x14ac:dyDescent="0.2">
      <c r="A286" s="118" t="s">
        <v>257</v>
      </c>
      <c r="B286" s="66" t="s">
        <v>15</v>
      </c>
      <c r="C286" s="86">
        <v>1</v>
      </c>
      <c r="D286" s="82"/>
      <c r="E286" s="83">
        <f>+Lista_prec_base!C15</f>
        <v>150000</v>
      </c>
      <c r="F286" s="70">
        <f>+E286*C286</f>
        <v>150000</v>
      </c>
    </row>
    <row r="287" spans="1:6" x14ac:dyDescent="0.2">
      <c r="A287" s="85">
        <v>0</v>
      </c>
      <c r="B287" s="66">
        <v>0</v>
      </c>
      <c r="C287" s="86"/>
      <c r="D287" s="82"/>
      <c r="E287" s="83">
        <v>0</v>
      </c>
      <c r="F287" s="84">
        <v>0</v>
      </c>
    </row>
    <row r="288" spans="1:6" x14ac:dyDescent="0.2">
      <c r="A288" s="65">
        <v>0</v>
      </c>
      <c r="B288" s="66">
        <v>0</v>
      </c>
      <c r="C288" s="87"/>
      <c r="D288" s="82"/>
      <c r="E288" s="83">
        <v>0</v>
      </c>
      <c r="F288" s="84">
        <v>0</v>
      </c>
    </row>
    <row r="289" spans="1:6" x14ac:dyDescent="0.2">
      <c r="A289" s="65">
        <v>0</v>
      </c>
      <c r="B289" s="66">
        <v>0</v>
      </c>
      <c r="C289" s="87"/>
      <c r="D289" s="82"/>
      <c r="E289" s="83">
        <v>0</v>
      </c>
      <c r="F289" s="84">
        <v>0</v>
      </c>
    </row>
    <row r="290" spans="1:6" x14ac:dyDescent="0.2">
      <c r="A290" s="65">
        <v>0</v>
      </c>
      <c r="B290" s="66">
        <v>0</v>
      </c>
      <c r="C290" s="87"/>
      <c r="D290" s="82"/>
      <c r="E290" s="83">
        <v>0</v>
      </c>
      <c r="F290" s="84">
        <v>0</v>
      </c>
    </row>
    <row r="291" spans="1:6" ht="15" x14ac:dyDescent="0.25">
      <c r="A291" s="72"/>
      <c r="B291" s="73"/>
      <c r="C291" s="408" t="s">
        <v>167</v>
      </c>
      <c r="D291" s="408"/>
      <c r="E291" s="409"/>
      <c r="F291" s="74">
        <f>SUM(F286:F290)</f>
        <v>150000</v>
      </c>
    </row>
    <row r="292" spans="1:6" x14ac:dyDescent="0.2">
      <c r="A292" s="72" t="s">
        <v>168</v>
      </c>
      <c r="B292" s="73"/>
      <c r="C292" s="73"/>
      <c r="D292" s="88"/>
      <c r="E292" s="89"/>
      <c r="F292" s="90"/>
    </row>
    <row r="293" spans="1:6" x14ac:dyDescent="0.2">
      <c r="A293" s="61" t="s">
        <v>158</v>
      </c>
      <c r="B293" s="62" t="s">
        <v>159</v>
      </c>
      <c r="C293" s="62" t="s">
        <v>169</v>
      </c>
      <c r="D293" s="91" t="s">
        <v>170</v>
      </c>
      <c r="E293" s="63" t="s">
        <v>161</v>
      </c>
      <c r="F293" s="64" t="s">
        <v>171</v>
      </c>
    </row>
    <row r="294" spans="1:6" x14ac:dyDescent="0.2">
      <c r="A294" s="65" t="s">
        <v>190</v>
      </c>
      <c r="B294" s="92" t="s">
        <v>191</v>
      </c>
      <c r="C294" s="93">
        <v>1.65</v>
      </c>
      <c r="D294" s="94">
        <f>+Lista_prec_base!C43</f>
        <v>67000</v>
      </c>
      <c r="E294" s="95">
        <v>1.1195364648349162</v>
      </c>
      <c r="F294" s="70">
        <f>+C294*D294/E294</f>
        <v>98746.225310581023</v>
      </c>
    </row>
    <row r="295" spans="1:6" x14ac:dyDescent="0.2">
      <c r="A295" s="65">
        <v>0</v>
      </c>
      <c r="B295" s="92">
        <v>0</v>
      </c>
      <c r="C295" s="93"/>
      <c r="D295" s="94">
        <v>0</v>
      </c>
      <c r="E295" s="96"/>
      <c r="F295" s="97">
        <v>0</v>
      </c>
    </row>
    <row r="296" spans="1:6" x14ac:dyDescent="0.2">
      <c r="A296" s="65">
        <v>0</v>
      </c>
      <c r="B296" s="92">
        <v>0</v>
      </c>
      <c r="C296" s="93"/>
      <c r="D296" s="94">
        <v>0</v>
      </c>
      <c r="E296" s="96"/>
      <c r="F296" s="97">
        <v>0</v>
      </c>
    </row>
    <row r="297" spans="1:6" ht="15" x14ac:dyDescent="0.25">
      <c r="A297" s="72"/>
      <c r="B297" s="73"/>
      <c r="C297" s="408" t="s">
        <v>172</v>
      </c>
      <c r="D297" s="408"/>
      <c r="E297" s="409"/>
      <c r="F297" s="74">
        <f>+F294</f>
        <v>98746.225310581023</v>
      </c>
    </row>
    <row r="298" spans="1:6" x14ac:dyDescent="0.2">
      <c r="A298" s="75" t="s">
        <v>173</v>
      </c>
      <c r="B298" s="76"/>
      <c r="C298" s="76"/>
      <c r="D298" s="77"/>
      <c r="E298" s="78"/>
      <c r="F298" s="79"/>
    </row>
    <row r="299" spans="1:6" x14ac:dyDescent="0.2">
      <c r="A299" s="61" t="s">
        <v>158</v>
      </c>
      <c r="B299" s="62" t="s">
        <v>159</v>
      </c>
      <c r="C299" s="62" t="s">
        <v>174</v>
      </c>
      <c r="D299" s="98" t="s">
        <v>175</v>
      </c>
      <c r="E299" s="63" t="s">
        <v>165</v>
      </c>
      <c r="F299" s="64" t="s">
        <v>162</v>
      </c>
    </row>
    <row r="300" spans="1:6" x14ac:dyDescent="0.2">
      <c r="A300" s="65">
        <v>0</v>
      </c>
      <c r="B300" s="66">
        <v>0</v>
      </c>
      <c r="C300" s="99"/>
      <c r="D300" s="81"/>
      <c r="E300" s="83">
        <v>0</v>
      </c>
      <c r="F300" s="84">
        <v>0</v>
      </c>
    </row>
    <row r="301" spans="1:6" x14ac:dyDescent="0.2">
      <c r="A301" s="65">
        <v>0</v>
      </c>
      <c r="B301" s="66">
        <v>0</v>
      </c>
      <c r="C301" s="99"/>
      <c r="D301" s="81"/>
      <c r="E301" s="83">
        <v>0</v>
      </c>
      <c r="F301" s="84">
        <v>0</v>
      </c>
    </row>
    <row r="302" spans="1:6" ht="15" x14ac:dyDescent="0.25">
      <c r="A302" s="72"/>
      <c r="B302" s="73"/>
      <c r="C302" s="408" t="s">
        <v>176</v>
      </c>
      <c r="D302" s="408"/>
      <c r="E302" s="409"/>
      <c r="F302" s="74">
        <v>0</v>
      </c>
    </row>
    <row r="303" spans="1:6" ht="15" thickBot="1" x14ac:dyDescent="0.25">
      <c r="A303" s="75"/>
      <c r="B303" s="76"/>
      <c r="C303" s="76"/>
      <c r="D303" s="77"/>
      <c r="E303" s="78"/>
      <c r="F303" s="79"/>
    </row>
    <row r="304" spans="1:6" ht="15.75" thickBot="1" x14ac:dyDescent="0.3">
      <c r="A304" s="100" t="s">
        <v>177</v>
      </c>
      <c r="B304" s="101"/>
      <c r="C304" s="101"/>
      <c r="D304" s="101"/>
      <c r="E304" s="102"/>
      <c r="F304" s="103">
        <f>+F283+F291+F297+F302</f>
        <v>257242.22531058104</v>
      </c>
    </row>
    <row r="305" spans="1:6" ht="15" x14ac:dyDescent="0.25">
      <c r="A305" s="104" t="s">
        <v>178</v>
      </c>
      <c r="B305" s="105"/>
      <c r="C305" s="105"/>
      <c r="D305" s="105"/>
      <c r="E305" s="105"/>
      <c r="F305" s="106" t="s">
        <v>179</v>
      </c>
    </row>
    <row r="306" spans="1:6" x14ac:dyDescent="0.2">
      <c r="A306" s="399" t="s">
        <v>158</v>
      </c>
      <c r="B306" s="400"/>
      <c r="C306" s="400"/>
      <c r="D306" s="400"/>
      <c r="E306" s="107" t="s">
        <v>144</v>
      </c>
      <c r="F306" s="108"/>
    </row>
    <row r="307" spans="1:6" x14ac:dyDescent="0.2">
      <c r="A307" s="399" t="s">
        <v>180</v>
      </c>
      <c r="B307" s="400"/>
      <c r="C307" s="400"/>
      <c r="D307" s="400"/>
      <c r="E307" s="109">
        <v>0.23</v>
      </c>
      <c r="F307" s="108">
        <f>+E307*F304</f>
        <v>59165.711821433644</v>
      </c>
    </row>
    <row r="308" spans="1:6" x14ac:dyDescent="0.2">
      <c r="A308" s="399" t="s">
        <v>181</v>
      </c>
      <c r="B308" s="400"/>
      <c r="C308" s="400"/>
      <c r="D308" s="400"/>
      <c r="E308" s="109">
        <v>0.02</v>
      </c>
      <c r="F308" s="108">
        <f>+E308*F304</f>
        <v>5144.8445062116207</v>
      </c>
    </row>
    <row r="309" spans="1:6" x14ac:dyDescent="0.2">
      <c r="A309" s="399" t="s">
        <v>182</v>
      </c>
      <c r="B309" s="400"/>
      <c r="C309" s="400"/>
      <c r="D309" s="400"/>
      <c r="E309" s="109">
        <v>0.05</v>
      </c>
      <c r="F309" s="108">
        <f>+E309*F304</f>
        <v>12862.111265529053</v>
      </c>
    </row>
    <row r="310" spans="1:6" x14ac:dyDescent="0.2">
      <c r="A310" s="110" t="s">
        <v>183</v>
      </c>
      <c r="B310" s="111"/>
      <c r="C310" s="111"/>
      <c r="D310" s="111"/>
      <c r="E310" s="109"/>
      <c r="F310" s="108">
        <v>0</v>
      </c>
    </row>
    <row r="311" spans="1:6" ht="15" x14ac:dyDescent="0.2">
      <c r="A311" s="112"/>
      <c r="B311" s="113"/>
      <c r="C311" s="113"/>
      <c r="D311" s="113"/>
      <c r="E311" s="114" t="s">
        <v>184</v>
      </c>
      <c r="F311" s="115">
        <f>+F307+F308+F309</f>
        <v>77172.667593174323</v>
      </c>
    </row>
    <row r="312" spans="1:6" ht="15.75" thickBot="1" x14ac:dyDescent="0.3">
      <c r="A312" s="401" t="s">
        <v>185</v>
      </c>
      <c r="B312" s="402"/>
      <c r="C312" s="402"/>
      <c r="D312" s="402"/>
      <c r="E312" s="402"/>
      <c r="F312" s="116">
        <f>+F304+F311</f>
        <v>334414.89290375536</v>
      </c>
    </row>
    <row r="313" spans="1:6" x14ac:dyDescent="0.2">
      <c r="A313" s="41" t="s">
        <v>153</v>
      </c>
      <c r="B313" s="117" t="s">
        <v>219</v>
      </c>
      <c r="C313" s="43"/>
      <c r="D313" s="44"/>
      <c r="E313" s="45"/>
      <c r="F313" s="46"/>
    </row>
    <row r="314" spans="1:6" x14ac:dyDescent="0.2">
      <c r="A314" s="48" t="s">
        <v>154</v>
      </c>
      <c r="B314" s="403" t="s">
        <v>81</v>
      </c>
      <c r="C314" s="404"/>
      <c r="D314" s="404"/>
      <c r="E314" s="404"/>
      <c r="F314" s="405"/>
    </row>
    <row r="315" spans="1:6" ht="15" thickBot="1" x14ac:dyDescent="0.25">
      <c r="A315" s="50" t="s">
        <v>156</v>
      </c>
      <c r="B315" s="51" t="s">
        <v>15</v>
      </c>
      <c r="C315" s="52"/>
      <c r="D315" s="53"/>
      <c r="E315" s="52"/>
      <c r="F315" s="54"/>
    </row>
    <row r="316" spans="1:6" x14ac:dyDescent="0.2">
      <c r="A316" s="55" t="s">
        <v>157</v>
      </c>
      <c r="B316" s="56"/>
      <c r="C316" s="57"/>
      <c r="D316" s="58"/>
      <c r="E316" s="59"/>
      <c r="F316" s="60"/>
    </row>
    <row r="317" spans="1:6" x14ac:dyDescent="0.2">
      <c r="A317" s="61" t="s">
        <v>158</v>
      </c>
      <c r="B317" s="62" t="s">
        <v>159</v>
      </c>
      <c r="C317" s="406" t="s">
        <v>160</v>
      </c>
      <c r="D317" s="407"/>
      <c r="E317" s="63" t="s">
        <v>161</v>
      </c>
      <c r="F317" s="64" t="s">
        <v>162</v>
      </c>
    </row>
    <row r="318" spans="1:6" x14ac:dyDescent="0.2">
      <c r="A318" s="65" t="s">
        <v>188</v>
      </c>
      <c r="B318" s="66" t="s">
        <v>189</v>
      </c>
      <c r="C318" s="67">
        <v>8496</v>
      </c>
      <c r="D318" s="68"/>
      <c r="E318" s="69">
        <v>1</v>
      </c>
      <c r="F318" s="70">
        <f>+C318/E318</f>
        <v>8496</v>
      </c>
    </row>
    <row r="319" spans="1:6" x14ac:dyDescent="0.2">
      <c r="A319" s="65"/>
      <c r="B319" s="66"/>
      <c r="C319" s="67"/>
      <c r="D319" s="68"/>
      <c r="E319" s="69"/>
      <c r="F319" s="70"/>
    </row>
    <row r="320" spans="1:6" x14ac:dyDescent="0.2">
      <c r="A320" s="65"/>
      <c r="B320" s="66"/>
      <c r="C320" s="67">
        <v>0</v>
      </c>
      <c r="D320" s="68"/>
      <c r="E320" s="71"/>
      <c r="F320" s="70">
        <v>0</v>
      </c>
    </row>
    <row r="321" spans="1:6" x14ac:dyDescent="0.2">
      <c r="A321" s="65"/>
      <c r="B321" s="66"/>
      <c r="C321" s="67">
        <v>0</v>
      </c>
      <c r="D321" s="68"/>
      <c r="E321" s="71"/>
      <c r="F321" s="70">
        <v>0</v>
      </c>
    </row>
    <row r="322" spans="1:6" ht="15" x14ac:dyDescent="0.25">
      <c r="A322" s="72"/>
      <c r="B322" s="73"/>
      <c r="C322" s="408" t="s">
        <v>163</v>
      </c>
      <c r="D322" s="408"/>
      <c r="E322" s="409"/>
      <c r="F322" s="74">
        <f>SUM(F318:F321)</f>
        <v>8496</v>
      </c>
    </row>
    <row r="323" spans="1:6" x14ac:dyDescent="0.2">
      <c r="A323" s="75" t="s">
        <v>164</v>
      </c>
      <c r="B323" s="76"/>
      <c r="C323" s="76"/>
      <c r="D323" s="77"/>
      <c r="E323" s="78"/>
      <c r="F323" s="79"/>
    </row>
    <row r="324" spans="1:6" x14ac:dyDescent="0.2">
      <c r="A324" s="61" t="s">
        <v>158</v>
      </c>
      <c r="B324" s="62" t="s">
        <v>159</v>
      </c>
      <c r="C324" s="406" t="s">
        <v>7</v>
      </c>
      <c r="D324" s="407"/>
      <c r="E324" s="63" t="s">
        <v>165</v>
      </c>
      <c r="F324" s="64" t="s">
        <v>162</v>
      </c>
    </row>
    <row r="325" spans="1:6" x14ac:dyDescent="0.2">
      <c r="A325" s="118" t="s">
        <v>258</v>
      </c>
      <c r="B325" s="66" t="s">
        <v>15</v>
      </c>
      <c r="C325" s="86">
        <v>1</v>
      </c>
      <c r="D325" s="82"/>
      <c r="E325" s="83">
        <f>+Lista_prec_base!C16</f>
        <v>120413</v>
      </c>
      <c r="F325" s="70">
        <f>+E325*C325</f>
        <v>120413</v>
      </c>
    </row>
    <row r="326" spans="1:6" x14ac:dyDescent="0.2">
      <c r="A326" s="85">
        <v>0</v>
      </c>
      <c r="B326" s="66">
        <v>0</v>
      </c>
      <c r="C326" s="86"/>
      <c r="D326" s="82"/>
      <c r="E326" s="83">
        <v>0</v>
      </c>
      <c r="F326" s="84">
        <v>0</v>
      </c>
    </row>
    <row r="327" spans="1:6" x14ac:dyDescent="0.2">
      <c r="A327" s="65">
        <v>0</v>
      </c>
      <c r="B327" s="66">
        <v>0</v>
      </c>
      <c r="C327" s="87"/>
      <c r="D327" s="82"/>
      <c r="E327" s="83">
        <v>0</v>
      </c>
      <c r="F327" s="84">
        <v>0</v>
      </c>
    </row>
    <row r="328" spans="1:6" x14ac:dyDescent="0.2">
      <c r="A328" s="65">
        <v>0</v>
      </c>
      <c r="B328" s="66">
        <v>0</v>
      </c>
      <c r="C328" s="87"/>
      <c r="D328" s="82"/>
      <c r="E328" s="83">
        <v>0</v>
      </c>
      <c r="F328" s="84">
        <v>0</v>
      </c>
    </row>
    <row r="329" spans="1:6" x14ac:dyDescent="0.2">
      <c r="A329" s="65">
        <v>0</v>
      </c>
      <c r="B329" s="66">
        <v>0</v>
      </c>
      <c r="C329" s="87"/>
      <c r="D329" s="82"/>
      <c r="E329" s="83">
        <v>0</v>
      </c>
      <c r="F329" s="84">
        <v>0</v>
      </c>
    </row>
    <row r="330" spans="1:6" ht="15" x14ac:dyDescent="0.25">
      <c r="A330" s="72"/>
      <c r="B330" s="73"/>
      <c r="C330" s="408" t="s">
        <v>167</v>
      </c>
      <c r="D330" s="408"/>
      <c r="E330" s="409"/>
      <c r="F330" s="74">
        <f>SUM(F325:F329)</f>
        <v>120413</v>
      </c>
    </row>
    <row r="331" spans="1:6" x14ac:dyDescent="0.2">
      <c r="A331" s="72" t="s">
        <v>168</v>
      </c>
      <c r="B331" s="73"/>
      <c r="C331" s="73"/>
      <c r="D331" s="88"/>
      <c r="E331" s="89"/>
      <c r="F331" s="90"/>
    </row>
    <row r="332" spans="1:6" x14ac:dyDescent="0.2">
      <c r="A332" s="61" t="s">
        <v>158</v>
      </c>
      <c r="B332" s="62" t="s">
        <v>159</v>
      </c>
      <c r="C332" s="62" t="s">
        <v>169</v>
      </c>
      <c r="D332" s="91" t="s">
        <v>170</v>
      </c>
      <c r="E332" s="63" t="s">
        <v>161</v>
      </c>
      <c r="F332" s="64" t="s">
        <v>171</v>
      </c>
    </row>
    <row r="333" spans="1:6" x14ac:dyDescent="0.2">
      <c r="A333" s="65" t="s">
        <v>190</v>
      </c>
      <c r="B333" s="92" t="s">
        <v>191</v>
      </c>
      <c r="C333" s="93">
        <v>1.65</v>
      </c>
      <c r="D333" s="94">
        <f>+Lista_prec_base!C43</f>
        <v>67000</v>
      </c>
      <c r="E333" s="95">
        <v>1.9259999999999999</v>
      </c>
      <c r="F333" s="70">
        <f>+C333*D333/E333</f>
        <v>57398.753894080997</v>
      </c>
    </row>
    <row r="334" spans="1:6" x14ac:dyDescent="0.2">
      <c r="A334" s="65">
        <v>0</v>
      </c>
      <c r="B334" s="92">
        <v>0</v>
      </c>
      <c r="C334" s="93"/>
      <c r="D334" s="94">
        <v>0</v>
      </c>
      <c r="E334" s="96"/>
      <c r="F334" s="97">
        <v>0</v>
      </c>
    </row>
    <row r="335" spans="1:6" x14ac:dyDescent="0.2">
      <c r="A335" s="65">
        <v>0</v>
      </c>
      <c r="B335" s="92">
        <v>0</v>
      </c>
      <c r="C335" s="93"/>
      <c r="D335" s="94">
        <v>0</v>
      </c>
      <c r="E335" s="96"/>
      <c r="F335" s="97">
        <v>0</v>
      </c>
    </row>
    <row r="336" spans="1:6" ht="15" x14ac:dyDescent="0.25">
      <c r="A336" s="72"/>
      <c r="B336" s="73"/>
      <c r="C336" s="408" t="s">
        <v>172</v>
      </c>
      <c r="D336" s="408"/>
      <c r="E336" s="409"/>
      <c r="F336" s="74">
        <f>+F333</f>
        <v>57398.753894080997</v>
      </c>
    </row>
    <row r="337" spans="1:6" x14ac:dyDescent="0.2">
      <c r="A337" s="75" t="s">
        <v>173</v>
      </c>
      <c r="B337" s="76"/>
      <c r="C337" s="76"/>
      <c r="D337" s="77"/>
      <c r="E337" s="78"/>
      <c r="F337" s="79"/>
    </row>
    <row r="338" spans="1:6" x14ac:dyDescent="0.2">
      <c r="A338" s="61" t="s">
        <v>158</v>
      </c>
      <c r="B338" s="62" t="s">
        <v>159</v>
      </c>
      <c r="C338" s="62" t="s">
        <v>174</v>
      </c>
      <c r="D338" s="98" t="s">
        <v>175</v>
      </c>
      <c r="E338" s="63" t="s">
        <v>165</v>
      </c>
      <c r="F338" s="64" t="s">
        <v>162</v>
      </c>
    </row>
    <row r="339" spans="1:6" x14ac:dyDescent="0.2">
      <c r="A339" s="65">
        <v>0</v>
      </c>
      <c r="B339" s="66">
        <v>0</v>
      </c>
      <c r="C339" s="99"/>
      <c r="D339" s="81"/>
      <c r="E339" s="83">
        <v>0</v>
      </c>
      <c r="F339" s="84">
        <v>0</v>
      </c>
    </row>
    <row r="340" spans="1:6" x14ac:dyDescent="0.2">
      <c r="A340" s="65">
        <v>0</v>
      </c>
      <c r="B340" s="66">
        <v>0</v>
      </c>
      <c r="C340" s="99"/>
      <c r="D340" s="81"/>
      <c r="E340" s="83">
        <v>0</v>
      </c>
      <c r="F340" s="84">
        <v>0</v>
      </c>
    </row>
    <row r="341" spans="1:6" ht="15" x14ac:dyDescent="0.25">
      <c r="A341" s="72"/>
      <c r="B341" s="73"/>
      <c r="C341" s="408" t="s">
        <v>176</v>
      </c>
      <c r="D341" s="408"/>
      <c r="E341" s="409"/>
      <c r="F341" s="74">
        <v>0</v>
      </c>
    </row>
    <row r="342" spans="1:6" ht="15" thickBot="1" x14ac:dyDescent="0.25">
      <c r="A342" s="75"/>
      <c r="B342" s="76"/>
      <c r="C342" s="76"/>
      <c r="D342" s="77"/>
      <c r="E342" s="78"/>
      <c r="F342" s="79"/>
    </row>
    <row r="343" spans="1:6" ht="15.75" thickBot="1" x14ac:dyDescent="0.3">
      <c r="A343" s="100" t="s">
        <v>177</v>
      </c>
      <c r="B343" s="101"/>
      <c r="C343" s="101"/>
      <c r="D343" s="101"/>
      <c r="E343" s="102"/>
      <c r="F343" s="103">
        <f>+F322+F330+F336+F341</f>
        <v>186307.75389408099</v>
      </c>
    </row>
    <row r="344" spans="1:6" ht="15" x14ac:dyDescent="0.25">
      <c r="A344" s="104" t="s">
        <v>178</v>
      </c>
      <c r="B344" s="105"/>
      <c r="C344" s="105"/>
      <c r="D344" s="105"/>
      <c r="E344" s="105"/>
      <c r="F344" s="106" t="s">
        <v>179</v>
      </c>
    </row>
    <row r="345" spans="1:6" x14ac:dyDescent="0.2">
      <c r="A345" s="399" t="s">
        <v>158</v>
      </c>
      <c r="B345" s="400"/>
      <c r="C345" s="400"/>
      <c r="D345" s="400"/>
      <c r="E345" s="107" t="s">
        <v>144</v>
      </c>
      <c r="F345" s="108"/>
    </row>
    <row r="346" spans="1:6" x14ac:dyDescent="0.2">
      <c r="A346" s="399" t="s">
        <v>180</v>
      </c>
      <c r="B346" s="400"/>
      <c r="C346" s="400"/>
      <c r="D346" s="400"/>
      <c r="E346" s="109">
        <v>0.23</v>
      </c>
      <c r="F346" s="108">
        <f>+E346*F343</f>
        <v>42850.783395638631</v>
      </c>
    </row>
    <row r="347" spans="1:6" x14ac:dyDescent="0.2">
      <c r="A347" s="399" t="s">
        <v>181</v>
      </c>
      <c r="B347" s="400"/>
      <c r="C347" s="400"/>
      <c r="D347" s="400"/>
      <c r="E347" s="109">
        <v>0.02</v>
      </c>
      <c r="F347" s="108">
        <f>+E347*F343</f>
        <v>3726.1550778816199</v>
      </c>
    </row>
    <row r="348" spans="1:6" x14ac:dyDescent="0.2">
      <c r="A348" s="399" t="s">
        <v>182</v>
      </c>
      <c r="B348" s="400"/>
      <c r="C348" s="400"/>
      <c r="D348" s="400"/>
      <c r="E348" s="109">
        <v>0.05</v>
      </c>
      <c r="F348" s="108">
        <f>+E348*F343</f>
        <v>9315.3876947040499</v>
      </c>
    </row>
    <row r="349" spans="1:6" x14ac:dyDescent="0.2">
      <c r="A349" s="110" t="s">
        <v>183</v>
      </c>
      <c r="B349" s="111"/>
      <c r="C349" s="111"/>
      <c r="D349" s="111"/>
      <c r="E349" s="109"/>
      <c r="F349" s="108">
        <v>0</v>
      </c>
    </row>
    <row r="350" spans="1:6" ht="15" x14ac:dyDescent="0.2">
      <c r="A350" s="112"/>
      <c r="B350" s="113"/>
      <c r="C350" s="113"/>
      <c r="D350" s="113"/>
      <c r="E350" s="114" t="s">
        <v>184</v>
      </c>
      <c r="F350" s="115">
        <f>+F346+F347+F348</f>
        <v>55892.326168224296</v>
      </c>
    </row>
    <row r="351" spans="1:6" ht="15.75" thickBot="1" x14ac:dyDescent="0.3">
      <c r="A351" s="401" t="s">
        <v>185</v>
      </c>
      <c r="B351" s="402"/>
      <c r="C351" s="402"/>
      <c r="D351" s="402"/>
      <c r="E351" s="402"/>
      <c r="F351" s="116">
        <f>+F343+F350</f>
        <v>242200.08006230529</v>
      </c>
    </row>
    <row r="352" spans="1:6" x14ac:dyDescent="0.2">
      <c r="A352" s="41" t="s">
        <v>153</v>
      </c>
      <c r="B352" s="117" t="s">
        <v>82</v>
      </c>
      <c r="C352" s="43"/>
      <c r="D352" s="44"/>
      <c r="E352" s="45"/>
      <c r="F352" s="46"/>
    </row>
    <row r="353" spans="1:6" x14ac:dyDescent="0.2">
      <c r="A353" s="48" t="s">
        <v>154</v>
      </c>
      <c r="B353" s="403" t="s">
        <v>83</v>
      </c>
      <c r="C353" s="404"/>
      <c r="D353" s="404"/>
      <c r="E353" s="404"/>
      <c r="F353" s="405"/>
    </row>
    <row r="354" spans="1:6" ht="15" thickBot="1" x14ac:dyDescent="0.25">
      <c r="A354" s="50" t="s">
        <v>156</v>
      </c>
      <c r="B354" s="51" t="s">
        <v>15</v>
      </c>
      <c r="C354" s="52"/>
      <c r="D354" s="53"/>
      <c r="E354" s="52"/>
      <c r="F354" s="54"/>
    </row>
    <row r="355" spans="1:6" x14ac:dyDescent="0.2">
      <c r="A355" s="55" t="s">
        <v>157</v>
      </c>
      <c r="B355" s="56"/>
      <c r="C355" s="57"/>
      <c r="D355" s="58"/>
      <c r="E355" s="59"/>
      <c r="F355" s="60"/>
    </row>
    <row r="356" spans="1:6" x14ac:dyDescent="0.2">
      <c r="A356" s="61" t="s">
        <v>158</v>
      </c>
      <c r="B356" s="62" t="s">
        <v>159</v>
      </c>
      <c r="C356" s="406" t="s">
        <v>160</v>
      </c>
      <c r="D356" s="407"/>
      <c r="E356" s="63" t="s">
        <v>161</v>
      </c>
      <c r="F356" s="64" t="s">
        <v>162</v>
      </c>
    </row>
    <row r="357" spans="1:6" x14ac:dyDescent="0.2">
      <c r="A357" s="65" t="s">
        <v>188</v>
      </c>
      <c r="B357" s="66" t="s">
        <v>189</v>
      </c>
      <c r="C357" s="67">
        <v>8496</v>
      </c>
      <c r="D357" s="68"/>
      <c r="E357" s="69">
        <v>5</v>
      </c>
      <c r="F357" s="70">
        <f>+C357/E357</f>
        <v>1699.2</v>
      </c>
    </row>
    <row r="358" spans="1:6" x14ac:dyDescent="0.2">
      <c r="A358" s="65"/>
      <c r="B358" s="66"/>
      <c r="C358" s="67"/>
      <c r="D358" s="68"/>
      <c r="E358" s="69"/>
      <c r="F358" s="70"/>
    </row>
    <row r="359" spans="1:6" x14ac:dyDescent="0.2">
      <c r="A359" s="65"/>
      <c r="B359" s="66"/>
      <c r="C359" s="67">
        <v>0</v>
      </c>
      <c r="D359" s="68"/>
      <c r="E359" s="71"/>
      <c r="F359" s="70">
        <v>0</v>
      </c>
    </row>
    <row r="360" spans="1:6" x14ac:dyDescent="0.2">
      <c r="A360" s="65"/>
      <c r="B360" s="66"/>
      <c r="C360" s="67">
        <v>0</v>
      </c>
      <c r="D360" s="68"/>
      <c r="E360" s="71"/>
      <c r="F360" s="70">
        <v>0</v>
      </c>
    </row>
    <row r="361" spans="1:6" ht="15" x14ac:dyDescent="0.25">
      <c r="A361" s="72"/>
      <c r="B361" s="73"/>
      <c r="C361" s="408" t="s">
        <v>163</v>
      </c>
      <c r="D361" s="408"/>
      <c r="E361" s="409"/>
      <c r="F361" s="74">
        <f>SUM(F357:F360)</f>
        <v>1699.2</v>
      </c>
    </row>
    <row r="362" spans="1:6" x14ac:dyDescent="0.2">
      <c r="A362" s="75" t="s">
        <v>164</v>
      </c>
      <c r="B362" s="76"/>
      <c r="C362" s="76"/>
      <c r="D362" s="77"/>
      <c r="E362" s="78"/>
      <c r="F362" s="79"/>
    </row>
    <row r="363" spans="1:6" x14ac:dyDescent="0.2">
      <c r="A363" s="61" t="s">
        <v>158</v>
      </c>
      <c r="B363" s="62" t="s">
        <v>159</v>
      </c>
      <c r="C363" s="406" t="s">
        <v>7</v>
      </c>
      <c r="D363" s="407"/>
      <c r="E363" s="63" t="s">
        <v>165</v>
      </c>
      <c r="F363" s="64" t="s">
        <v>162</v>
      </c>
    </row>
    <row r="364" spans="1:6" x14ac:dyDescent="0.2">
      <c r="A364" s="85">
        <v>0</v>
      </c>
      <c r="B364" s="66">
        <v>0</v>
      </c>
      <c r="C364" s="86"/>
      <c r="D364" s="82"/>
      <c r="E364" s="83">
        <v>0</v>
      </c>
      <c r="F364" s="84">
        <v>0</v>
      </c>
    </row>
    <row r="365" spans="1:6" x14ac:dyDescent="0.2">
      <c r="A365" s="85">
        <v>0</v>
      </c>
      <c r="B365" s="66">
        <v>0</v>
      </c>
      <c r="C365" s="86"/>
      <c r="D365" s="82"/>
      <c r="E365" s="83">
        <v>0</v>
      </c>
      <c r="F365" s="84">
        <v>0</v>
      </c>
    </row>
    <row r="366" spans="1:6" x14ac:dyDescent="0.2">
      <c r="A366" s="65">
        <v>0</v>
      </c>
      <c r="B366" s="66">
        <v>0</v>
      </c>
      <c r="C366" s="87"/>
      <c r="D366" s="82"/>
      <c r="E366" s="83">
        <v>0</v>
      </c>
      <c r="F366" s="84">
        <v>0</v>
      </c>
    </row>
    <row r="367" spans="1:6" x14ac:dyDescent="0.2">
      <c r="A367" s="65">
        <v>0</v>
      </c>
      <c r="B367" s="66">
        <v>0</v>
      </c>
      <c r="C367" s="87"/>
      <c r="D367" s="82"/>
      <c r="E367" s="83">
        <v>0</v>
      </c>
      <c r="F367" s="84">
        <v>0</v>
      </c>
    </row>
    <row r="368" spans="1:6" x14ac:dyDescent="0.2">
      <c r="A368" s="65">
        <v>0</v>
      </c>
      <c r="B368" s="66">
        <v>0</v>
      </c>
      <c r="C368" s="87"/>
      <c r="D368" s="82"/>
      <c r="E368" s="83">
        <v>0</v>
      </c>
      <c r="F368" s="84">
        <v>0</v>
      </c>
    </row>
    <row r="369" spans="1:8" ht="15" x14ac:dyDescent="0.25">
      <c r="A369" s="72"/>
      <c r="B369" s="73"/>
      <c r="C369" s="408" t="s">
        <v>167</v>
      </c>
      <c r="D369" s="408"/>
      <c r="E369" s="409"/>
      <c r="F369" s="74">
        <f>SUM(F364:F368)</f>
        <v>0</v>
      </c>
    </row>
    <row r="370" spans="1:8" x14ac:dyDescent="0.2">
      <c r="A370" s="72" t="s">
        <v>168</v>
      </c>
      <c r="B370" s="73"/>
      <c r="C370" s="73"/>
      <c r="D370" s="88"/>
      <c r="E370" s="89"/>
      <c r="F370" s="90"/>
    </row>
    <row r="371" spans="1:8" x14ac:dyDescent="0.2">
      <c r="A371" s="61" t="s">
        <v>158</v>
      </c>
      <c r="B371" s="62" t="s">
        <v>159</v>
      </c>
      <c r="C371" s="62" t="s">
        <v>169</v>
      </c>
      <c r="D371" s="91" t="s">
        <v>170</v>
      </c>
      <c r="E371" s="63" t="s">
        <v>161</v>
      </c>
      <c r="F371" s="64" t="s">
        <v>171</v>
      </c>
    </row>
    <row r="372" spans="1:8" x14ac:dyDescent="0.2">
      <c r="A372" s="65" t="s">
        <v>190</v>
      </c>
      <c r="B372" s="92" t="s">
        <v>191</v>
      </c>
      <c r="C372" s="93">
        <v>1.65</v>
      </c>
      <c r="D372" s="94">
        <f>+Lista_prec_base!C43</f>
        <v>67000</v>
      </c>
      <c r="E372" s="95">
        <v>44.531999999999996</v>
      </c>
      <c r="F372" s="70">
        <f>+C372*D372/E372</f>
        <v>2482.4845055241176</v>
      </c>
    </row>
    <row r="373" spans="1:8" x14ac:dyDescent="0.2">
      <c r="A373" s="65">
        <v>0</v>
      </c>
      <c r="B373" s="92">
        <v>0</v>
      </c>
      <c r="C373" s="93"/>
      <c r="D373" s="94">
        <v>0</v>
      </c>
      <c r="E373" s="96"/>
      <c r="F373" s="97">
        <v>0</v>
      </c>
    </row>
    <row r="374" spans="1:8" x14ac:dyDescent="0.2">
      <c r="A374" s="65">
        <v>0</v>
      </c>
      <c r="B374" s="92">
        <v>0</v>
      </c>
      <c r="C374" s="93"/>
      <c r="D374" s="94">
        <v>0</v>
      </c>
      <c r="E374" s="96"/>
      <c r="F374" s="97">
        <v>0</v>
      </c>
    </row>
    <row r="375" spans="1:8" ht="15" x14ac:dyDescent="0.25">
      <c r="A375" s="72"/>
      <c r="B375" s="73"/>
      <c r="C375" s="408" t="s">
        <v>172</v>
      </c>
      <c r="D375" s="408"/>
      <c r="E375" s="409"/>
      <c r="F375" s="74">
        <f>+F372</f>
        <v>2482.4845055241176</v>
      </c>
      <c r="H375" s="199">
        <f>+F375/F382</f>
        <v>0.59365657601492627</v>
      </c>
    </row>
    <row r="376" spans="1:8" x14ac:dyDescent="0.2">
      <c r="A376" s="75" t="s">
        <v>173</v>
      </c>
      <c r="B376" s="76"/>
      <c r="C376" s="76"/>
      <c r="D376" s="77"/>
      <c r="E376" s="78"/>
      <c r="F376" s="79"/>
    </row>
    <row r="377" spans="1:8" x14ac:dyDescent="0.2">
      <c r="A377" s="61" t="s">
        <v>158</v>
      </c>
      <c r="B377" s="62" t="s">
        <v>159</v>
      </c>
      <c r="C377" s="62" t="s">
        <v>174</v>
      </c>
      <c r="D377" s="98" t="s">
        <v>175</v>
      </c>
      <c r="E377" s="63" t="s">
        <v>165</v>
      </c>
      <c r="F377" s="64" t="s">
        <v>162</v>
      </c>
    </row>
    <row r="378" spans="1:8" x14ac:dyDescent="0.2">
      <c r="A378" s="65">
        <v>0</v>
      </c>
      <c r="B378" s="66">
        <v>0</v>
      </c>
      <c r="C378" s="99"/>
      <c r="D378" s="81"/>
      <c r="E378" s="83">
        <v>0</v>
      </c>
      <c r="F378" s="84">
        <v>0</v>
      </c>
    </row>
    <row r="379" spans="1:8" x14ac:dyDescent="0.2">
      <c r="A379" s="65">
        <v>0</v>
      </c>
      <c r="B379" s="66">
        <v>0</v>
      </c>
      <c r="C379" s="99"/>
      <c r="D379" s="81"/>
      <c r="E379" s="83">
        <v>0</v>
      </c>
      <c r="F379" s="84">
        <v>0</v>
      </c>
    </row>
    <row r="380" spans="1:8" ht="15" x14ac:dyDescent="0.25">
      <c r="A380" s="72"/>
      <c r="B380" s="73"/>
      <c r="C380" s="408" t="s">
        <v>176</v>
      </c>
      <c r="D380" s="408"/>
      <c r="E380" s="409"/>
      <c r="F380" s="74">
        <v>0</v>
      </c>
    </row>
    <row r="381" spans="1:8" ht="15" thickBot="1" x14ac:dyDescent="0.25">
      <c r="A381" s="75"/>
      <c r="B381" s="76"/>
      <c r="C381" s="76"/>
      <c r="D381" s="77"/>
      <c r="E381" s="78"/>
      <c r="F381" s="79"/>
    </row>
    <row r="382" spans="1:8" ht="15.75" thickBot="1" x14ac:dyDescent="0.3">
      <c r="A382" s="100" t="s">
        <v>177</v>
      </c>
      <c r="B382" s="101"/>
      <c r="C382" s="101"/>
      <c r="D382" s="101"/>
      <c r="E382" s="102"/>
      <c r="F382" s="103">
        <f>+F361+F369+F375+F380</f>
        <v>4181.6845055241174</v>
      </c>
    </row>
    <row r="383" spans="1:8" ht="15" x14ac:dyDescent="0.25">
      <c r="A383" s="104" t="s">
        <v>178</v>
      </c>
      <c r="B383" s="105"/>
      <c r="C383" s="105"/>
      <c r="D383" s="105"/>
      <c r="E383" s="105"/>
      <c r="F383" s="106" t="s">
        <v>179</v>
      </c>
    </row>
    <row r="384" spans="1:8" x14ac:dyDescent="0.2">
      <c r="A384" s="399" t="s">
        <v>158</v>
      </c>
      <c r="B384" s="400"/>
      <c r="C384" s="400"/>
      <c r="D384" s="400"/>
      <c r="E384" s="107" t="s">
        <v>144</v>
      </c>
      <c r="F384" s="108"/>
    </row>
    <row r="385" spans="1:6" x14ac:dyDescent="0.2">
      <c r="A385" s="399" t="s">
        <v>180</v>
      </c>
      <c r="B385" s="400"/>
      <c r="C385" s="400"/>
      <c r="D385" s="400"/>
      <c r="E385" s="109">
        <v>0.23</v>
      </c>
      <c r="F385" s="108">
        <f>+E385*F382</f>
        <v>961.787436270547</v>
      </c>
    </row>
    <row r="386" spans="1:6" x14ac:dyDescent="0.2">
      <c r="A386" s="399" t="s">
        <v>181</v>
      </c>
      <c r="B386" s="400"/>
      <c r="C386" s="400"/>
      <c r="D386" s="400"/>
      <c r="E386" s="109">
        <v>0.02</v>
      </c>
      <c r="F386" s="108">
        <f>+E386*F382</f>
        <v>83.633690110482348</v>
      </c>
    </row>
    <row r="387" spans="1:6" x14ac:dyDescent="0.2">
      <c r="A387" s="399" t="s">
        <v>182</v>
      </c>
      <c r="B387" s="400"/>
      <c r="C387" s="400"/>
      <c r="D387" s="400"/>
      <c r="E387" s="109">
        <v>0.05</v>
      </c>
      <c r="F387" s="108">
        <f>+E387*F382</f>
        <v>209.08422527620587</v>
      </c>
    </row>
    <row r="388" spans="1:6" x14ac:dyDescent="0.2">
      <c r="A388" s="110" t="s">
        <v>183</v>
      </c>
      <c r="B388" s="111"/>
      <c r="C388" s="111"/>
      <c r="D388" s="111"/>
      <c r="E388" s="109"/>
      <c r="F388" s="108">
        <v>0</v>
      </c>
    </row>
    <row r="389" spans="1:6" ht="15" x14ac:dyDescent="0.2">
      <c r="A389" s="112"/>
      <c r="B389" s="113"/>
      <c r="C389" s="113"/>
      <c r="D389" s="113"/>
      <c r="E389" s="114" t="s">
        <v>184</v>
      </c>
      <c r="F389" s="115">
        <f>+F385+F386+F387</f>
        <v>1254.5053516572352</v>
      </c>
    </row>
    <row r="390" spans="1:6" ht="15.75" thickBot="1" x14ac:dyDescent="0.3">
      <c r="A390" s="401" t="s">
        <v>185</v>
      </c>
      <c r="B390" s="402"/>
      <c r="C390" s="402"/>
      <c r="D390" s="402"/>
      <c r="E390" s="402"/>
      <c r="F390" s="116">
        <f>+F382+F389</f>
        <v>5436.1898571813526</v>
      </c>
    </row>
    <row r="391" spans="1:6" x14ac:dyDescent="0.2">
      <c r="A391" s="41" t="s">
        <v>153</v>
      </c>
      <c r="B391" s="117" t="s">
        <v>86</v>
      </c>
      <c r="C391" s="43"/>
      <c r="D391" s="44"/>
      <c r="E391" s="45"/>
      <c r="F391" s="46"/>
    </row>
    <row r="392" spans="1:6" ht="29.25" customHeight="1" x14ac:dyDescent="0.2">
      <c r="A392" s="48" t="s">
        <v>154</v>
      </c>
      <c r="B392" s="410" t="s">
        <v>220</v>
      </c>
      <c r="C392" s="411"/>
      <c r="D392" s="411"/>
      <c r="E392" s="411"/>
      <c r="F392" s="412"/>
    </row>
    <row r="393" spans="1:6" ht="15" thickBot="1" x14ac:dyDescent="0.25">
      <c r="A393" s="50" t="s">
        <v>156</v>
      </c>
      <c r="B393" s="51" t="s">
        <v>88</v>
      </c>
      <c r="C393" s="52"/>
      <c r="D393" s="53"/>
      <c r="E393" s="52"/>
      <c r="F393" s="54"/>
    </row>
    <row r="394" spans="1:6" x14ac:dyDescent="0.2">
      <c r="A394" s="55" t="s">
        <v>157</v>
      </c>
      <c r="B394" s="56"/>
      <c r="C394" s="57"/>
      <c r="D394" s="58"/>
      <c r="E394" s="59"/>
      <c r="F394" s="60"/>
    </row>
    <row r="395" spans="1:6" x14ac:dyDescent="0.2">
      <c r="A395" s="61" t="s">
        <v>158</v>
      </c>
      <c r="B395" s="62" t="s">
        <v>159</v>
      </c>
      <c r="C395" s="406" t="s">
        <v>160</v>
      </c>
      <c r="D395" s="407"/>
      <c r="E395" s="63" t="s">
        <v>161</v>
      </c>
      <c r="F395" s="64" t="s">
        <v>162</v>
      </c>
    </row>
    <row r="396" spans="1:6" x14ac:dyDescent="0.2">
      <c r="A396" s="65" t="s">
        <v>188</v>
      </c>
      <c r="B396" s="66" t="s">
        <v>189</v>
      </c>
      <c r="C396" s="67">
        <f>+Lista_prec_base!C35</f>
        <v>8496</v>
      </c>
      <c r="D396" s="68"/>
      <c r="E396" s="69">
        <v>10</v>
      </c>
      <c r="F396" s="70">
        <f>+C396/E396</f>
        <v>849.6</v>
      </c>
    </row>
    <row r="397" spans="1:6" x14ac:dyDescent="0.2">
      <c r="A397" s="65"/>
      <c r="B397" s="66"/>
      <c r="C397" s="67"/>
      <c r="D397" s="68"/>
      <c r="E397" s="69"/>
      <c r="F397" s="70"/>
    </row>
    <row r="398" spans="1:6" x14ac:dyDescent="0.2">
      <c r="A398" s="65"/>
      <c r="B398" s="66"/>
      <c r="C398" s="67">
        <v>0</v>
      </c>
      <c r="D398" s="68"/>
      <c r="E398" s="71"/>
      <c r="F398" s="70">
        <v>0</v>
      </c>
    </row>
    <row r="399" spans="1:6" x14ac:dyDescent="0.2">
      <c r="A399" s="65"/>
      <c r="B399" s="66"/>
      <c r="C399" s="67">
        <v>0</v>
      </c>
      <c r="D399" s="68"/>
      <c r="E399" s="71"/>
      <c r="F399" s="70">
        <v>0</v>
      </c>
    </row>
    <row r="400" spans="1:6" ht="15" x14ac:dyDescent="0.25">
      <c r="A400" s="72"/>
      <c r="B400" s="73"/>
      <c r="C400" s="408" t="s">
        <v>163</v>
      </c>
      <c r="D400" s="408"/>
      <c r="E400" s="409"/>
      <c r="F400" s="74">
        <f>SUM(F396:F399)</f>
        <v>849.6</v>
      </c>
    </row>
    <row r="401" spans="1:6" x14ac:dyDescent="0.2">
      <c r="A401" s="75" t="s">
        <v>164</v>
      </c>
      <c r="B401" s="76"/>
      <c r="C401" s="76"/>
      <c r="D401" s="77"/>
      <c r="E401" s="78"/>
      <c r="F401" s="79"/>
    </row>
    <row r="402" spans="1:6" x14ac:dyDescent="0.2">
      <c r="A402" s="61" t="s">
        <v>158</v>
      </c>
      <c r="B402" s="62" t="s">
        <v>159</v>
      </c>
      <c r="C402" s="406" t="s">
        <v>7</v>
      </c>
      <c r="D402" s="407"/>
      <c r="E402" s="63" t="s">
        <v>165</v>
      </c>
      <c r="F402" s="64" t="s">
        <v>162</v>
      </c>
    </row>
    <row r="403" spans="1:6" x14ac:dyDescent="0.2">
      <c r="A403" s="85">
        <v>0</v>
      </c>
      <c r="B403" s="66">
        <v>0</v>
      </c>
      <c r="C403" s="86"/>
      <c r="D403" s="82"/>
      <c r="E403" s="83">
        <v>0</v>
      </c>
      <c r="F403" s="84">
        <v>0</v>
      </c>
    </row>
    <row r="404" spans="1:6" x14ac:dyDescent="0.2">
      <c r="A404" s="85">
        <v>0</v>
      </c>
      <c r="B404" s="66">
        <v>0</v>
      </c>
      <c r="C404" s="86"/>
      <c r="D404" s="82"/>
      <c r="E404" s="83">
        <v>0</v>
      </c>
      <c r="F404" s="84">
        <v>0</v>
      </c>
    </row>
    <row r="405" spans="1:6" x14ac:dyDescent="0.2">
      <c r="A405" s="65">
        <v>0</v>
      </c>
      <c r="B405" s="66">
        <v>0</v>
      </c>
      <c r="C405" s="87"/>
      <c r="D405" s="82"/>
      <c r="E405" s="83">
        <v>0</v>
      </c>
      <c r="F405" s="84">
        <v>0</v>
      </c>
    </row>
    <row r="406" spans="1:6" x14ac:dyDescent="0.2">
      <c r="A406" s="65">
        <v>0</v>
      </c>
      <c r="B406" s="66">
        <v>0</v>
      </c>
      <c r="C406" s="87"/>
      <c r="D406" s="82"/>
      <c r="E406" s="83">
        <v>0</v>
      </c>
      <c r="F406" s="84">
        <v>0</v>
      </c>
    </row>
    <row r="407" spans="1:6" x14ac:dyDescent="0.2">
      <c r="A407" s="65">
        <v>0</v>
      </c>
      <c r="B407" s="66">
        <v>0</v>
      </c>
      <c r="C407" s="87"/>
      <c r="D407" s="82"/>
      <c r="E407" s="83">
        <v>0</v>
      </c>
      <c r="F407" s="84">
        <v>0</v>
      </c>
    </row>
    <row r="408" spans="1:6" ht="15" x14ac:dyDescent="0.25">
      <c r="A408" s="72"/>
      <c r="B408" s="73"/>
      <c r="C408" s="408" t="s">
        <v>167</v>
      </c>
      <c r="D408" s="408"/>
      <c r="E408" s="409"/>
      <c r="F408" s="74">
        <f>SUM(F403:F407)</f>
        <v>0</v>
      </c>
    </row>
    <row r="409" spans="1:6" x14ac:dyDescent="0.2">
      <c r="A409" s="72" t="s">
        <v>168</v>
      </c>
      <c r="B409" s="73"/>
      <c r="C409" s="73"/>
      <c r="D409" s="88"/>
      <c r="E409" s="89"/>
      <c r="F409" s="90"/>
    </row>
    <row r="410" spans="1:6" x14ac:dyDescent="0.2">
      <c r="A410" s="61" t="s">
        <v>158</v>
      </c>
      <c r="B410" s="62" t="s">
        <v>159</v>
      </c>
      <c r="C410" s="62" t="s">
        <v>169</v>
      </c>
      <c r="D410" s="91" t="s">
        <v>170</v>
      </c>
      <c r="E410" s="63" t="s">
        <v>161</v>
      </c>
      <c r="F410" s="64" t="s">
        <v>171</v>
      </c>
    </row>
    <row r="411" spans="1:6" x14ac:dyDescent="0.2">
      <c r="A411" s="65" t="s">
        <v>190</v>
      </c>
      <c r="B411" s="92" t="s">
        <v>191</v>
      </c>
      <c r="C411" s="93">
        <v>1.65</v>
      </c>
      <c r="D411" s="94">
        <f>+Lista_prec_base!C43</f>
        <v>67000</v>
      </c>
      <c r="E411" s="95">
        <v>8</v>
      </c>
      <c r="F411" s="70">
        <f>+C411*D411/E411</f>
        <v>13818.75</v>
      </c>
    </row>
    <row r="412" spans="1:6" x14ac:dyDescent="0.2">
      <c r="A412" s="65">
        <v>0</v>
      </c>
      <c r="B412" s="92">
        <v>0</v>
      </c>
      <c r="C412" s="93"/>
      <c r="D412" s="94">
        <v>0</v>
      </c>
      <c r="E412" s="96"/>
      <c r="F412" s="97">
        <v>0</v>
      </c>
    </row>
    <row r="413" spans="1:6" x14ac:dyDescent="0.2">
      <c r="A413" s="65">
        <v>0</v>
      </c>
      <c r="B413" s="92">
        <v>0</v>
      </c>
      <c r="C413" s="93"/>
      <c r="D413" s="94">
        <v>0</v>
      </c>
      <c r="E413" s="96"/>
      <c r="F413" s="97">
        <v>0</v>
      </c>
    </row>
    <row r="414" spans="1:6" ht="15" x14ac:dyDescent="0.25">
      <c r="A414" s="72"/>
      <c r="B414" s="73"/>
      <c r="C414" s="408" t="s">
        <v>172</v>
      </c>
      <c r="D414" s="408"/>
      <c r="E414" s="409"/>
      <c r="F414" s="74">
        <f>+F411</f>
        <v>13818.75</v>
      </c>
    </row>
    <row r="415" spans="1:6" x14ac:dyDescent="0.2">
      <c r="A415" s="75" t="s">
        <v>173</v>
      </c>
      <c r="B415" s="76"/>
      <c r="C415" s="76"/>
      <c r="D415" s="77"/>
      <c r="E415" s="78"/>
      <c r="F415" s="79"/>
    </row>
    <row r="416" spans="1:6" x14ac:dyDescent="0.2">
      <c r="A416" s="61" t="s">
        <v>158</v>
      </c>
      <c r="B416" s="62" t="s">
        <v>159</v>
      </c>
      <c r="C416" s="62" t="s">
        <v>174</v>
      </c>
      <c r="D416" s="98" t="s">
        <v>175</v>
      </c>
      <c r="E416" s="63" t="s">
        <v>165</v>
      </c>
      <c r="F416" s="64" t="s">
        <v>162</v>
      </c>
    </row>
    <row r="417" spans="1:6" x14ac:dyDescent="0.2">
      <c r="A417" s="65" t="s">
        <v>226</v>
      </c>
      <c r="B417" s="66" t="s">
        <v>196</v>
      </c>
      <c r="C417" s="99"/>
      <c r="D417" s="81">
        <v>1.3005427181593174</v>
      </c>
      <c r="E417" s="83">
        <f>+Lista_prec_base!C36</f>
        <v>3496</v>
      </c>
      <c r="F417" s="84">
        <f>+D417*E417</f>
        <v>4546.6973426849736</v>
      </c>
    </row>
    <row r="418" spans="1:6" x14ac:dyDescent="0.2">
      <c r="A418" s="65">
        <v>0</v>
      </c>
      <c r="B418" s="66">
        <v>0</v>
      </c>
      <c r="C418" s="99"/>
      <c r="D418" s="81"/>
      <c r="E418" s="83">
        <v>0</v>
      </c>
      <c r="F418" s="84">
        <v>0</v>
      </c>
    </row>
    <row r="419" spans="1:6" ht="15" x14ac:dyDescent="0.25">
      <c r="A419" s="72"/>
      <c r="B419" s="73"/>
      <c r="C419" s="408" t="s">
        <v>176</v>
      </c>
      <c r="D419" s="408"/>
      <c r="E419" s="409"/>
      <c r="F419" s="74">
        <f>+F417</f>
        <v>4546.6973426849736</v>
      </c>
    </row>
    <row r="420" spans="1:6" ht="15" thickBot="1" x14ac:dyDescent="0.25">
      <c r="A420" s="75"/>
      <c r="B420" s="76"/>
      <c r="C420" s="76"/>
      <c r="D420" s="77"/>
      <c r="E420" s="78"/>
      <c r="F420" s="79"/>
    </row>
    <row r="421" spans="1:6" ht="15.75" thickBot="1" x14ac:dyDescent="0.3">
      <c r="A421" s="100" t="s">
        <v>177</v>
      </c>
      <c r="B421" s="101"/>
      <c r="C421" s="101"/>
      <c r="D421" s="101"/>
      <c r="E421" s="102"/>
      <c r="F421" s="103">
        <f>+F400+F408+F414+F419</f>
        <v>19215.047342684975</v>
      </c>
    </row>
    <row r="422" spans="1:6" ht="15" x14ac:dyDescent="0.25">
      <c r="A422" s="104" t="s">
        <v>178</v>
      </c>
      <c r="B422" s="105"/>
      <c r="C422" s="105"/>
      <c r="D422" s="105"/>
      <c r="E422" s="105"/>
      <c r="F422" s="106" t="s">
        <v>179</v>
      </c>
    </row>
    <row r="423" spans="1:6" x14ac:dyDescent="0.2">
      <c r="A423" s="399" t="s">
        <v>158</v>
      </c>
      <c r="B423" s="400"/>
      <c r="C423" s="400"/>
      <c r="D423" s="400"/>
      <c r="E423" s="107" t="s">
        <v>144</v>
      </c>
      <c r="F423" s="108"/>
    </row>
    <row r="424" spans="1:6" x14ac:dyDescent="0.2">
      <c r="A424" s="399" t="s">
        <v>180</v>
      </c>
      <c r="B424" s="400"/>
      <c r="C424" s="400"/>
      <c r="D424" s="400"/>
      <c r="E424" s="109">
        <v>0.23</v>
      </c>
      <c r="F424" s="108">
        <f>+E424*F421</f>
        <v>4419.4608888175444</v>
      </c>
    </row>
    <row r="425" spans="1:6" x14ac:dyDescent="0.2">
      <c r="A425" s="399" t="s">
        <v>181</v>
      </c>
      <c r="B425" s="400"/>
      <c r="C425" s="400"/>
      <c r="D425" s="400"/>
      <c r="E425" s="109">
        <v>0.02</v>
      </c>
      <c r="F425" s="108">
        <f>+E425*F421</f>
        <v>384.30094685369949</v>
      </c>
    </row>
    <row r="426" spans="1:6" x14ac:dyDescent="0.2">
      <c r="A426" s="399" t="s">
        <v>182</v>
      </c>
      <c r="B426" s="400"/>
      <c r="C426" s="400"/>
      <c r="D426" s="400"/>
      <c r="E426" s="109">
        <v>0.05</v>
      </c>
      <c r="F426" s="108">
        <f>+E426*F421</f>
        <v>960.75236713424874</v>
      </c>
    </row>
    <row r="427" spans="1:6" x14ac:dyDescent="0.2">
      <c r="A427" s="110" t="s">
        <v>183</v>
      </c>
      <c r="B427" s="111"/>
      <c r="C427" s="111"/>
      <c r="D427" s="111"/>
      <c r="E427" s="109"/>
      <c r="F427" s="108">
        <v>0</v>
      </c>
    </row>
    <row r="428" spans="1:6" ht="15" x14ac:dyDescent="0.2">
      <c r="A428" s="112"/>
      <c r="B428" s="113"/>
      <c r="C428" s="113"/>
      <c r="D428" s="113"/>
      <c r="E428" s="114" t="s">
        <v>184</v>
      </c>
      <c r="F428" s="115">
        <f>+F424+F425+F426</f>
        <v>5764.5142028054925</v>
      </c>
    </row>
    <row r="429" spans="1:6" ht="15.75" thickBot="1" x14ac:dyDescent="0.3">
      <c r="A429" s="401" t="s">
        <v>185</v>
      </c>
      <c r="B429" s="402"/>
      <c r="C429" s="402"/>
      <c r="D429" s="402"/>
      <c r="E429" s="402"/>
      <c r="F429" s="116">
        <f>+F421+F428</f>
        <v>24979.561545490469</v>
      </c>
    </row>
    <row r="430" spans="1:6" x14ac:dyDescent="0.2">
      <c r="A430" s="41" t="s">
        <v>153</v>
      </c>
      <c r="B430" s="117" t="s">
        <v>87</v>
      </c>
      <c r="C430" s="43"/>
      <c r="D430" s="44"/>
      <c r="E430" s="45"/>
      <c r="F430" s="46"/>
    </row>
    <row r="431" spans="1:6" ht="29.25" customHeight="1" x14ac:dyDescent="0.2">
      <c r="A431" s="48" t="s">
        <v>154</v>
      </c>
      <c r="B431" s="410" t="s">
        <v>89</v>
      </c>
      <c r="C431" s="411"/>
      <c r="D431" s="411"/>
      <c r="E431" s="411"/>
      <c r="F431" s="412"/>
    </row>
    <row r="432" spans="1:6" ht="15" thickBot="1" x14ac:dyDescent="0.25">
      <c r="A432" s="50" t="s">
        <v>156</v>
      </c>
      <c r="B432" s="51" t="s">
        <v>88</v>
      </c>
      <c r="C432" s="52"/>
      <c r="D432" s="53"/>
      <c r="E432" s="52"/>
      <c r="F432" s="54"/>
    </row>
    <row r="433" spans="1:6" x14ac:dyDescent="0.2">
      <c r="A433" s="55" t="s">
        <v>157</v>
      </c>
      <c r="B433" s="56"/>
      <c r="C433" s="57"/>
      <c r="D433" s="58"/>
      <c r="E433" s="59"/>
      <c r="F433" s="60"/>
    </row>
    <row r="434" spans="1:6" x14ac:dyDescent="0.2">
      <c r="A434" s="61" t="s">
        <v>158</v>
      </c>
      <c r="B434" s="62" t="s">
        <v>159</v>
      </c>
      <c r="C434" s="406" t="s">
        <v>160</v>
      </c>
      <c r="D434" s="407"/>
      <c r="E434" s="63" t="s">
        <v>161</v>
      </c>
      <c r="F434" s="64" t="s">
        <v>162</v>
      </c>
    </row>
    <row r="435" spans="1:6" x14ac:dyDescent="0.2">
      <c r="A435" s="65" t="s">
        <v>227</v>
      </c>
      <c r="B435" s="66" t="s">
        <v>189</v>
      </c>
      <c r="C435" s="67">
        <f>+Lista_prec_base!C37</f>
        <v>100000</v>
      </c>
      <c r="D435" s="68"/>
      <c r="E435" s="69">
        <v>8.5</v>
      </c>
      <c r="F435" s="70">
        <f>+C435/E435</f>
        <v>11764.705882352941</v>
      </c>
    </row>
    <row r="436" spans="1:6" x14ac:dyDescent="0.2">
      <c r="A436" s="65" t="s">
        <v>188</v>
      </c>
      <c r="B436" s="66" t="s">
        <v>189</v>
      </c>
      <c r="C436" s="67">
        <f>+Lista_prec_base!C35</f>
        <v>8496</v>
      </c>
      <c r="D436" s="68"/>
      <c r="E436" s="69">
        <v>20</v>
      </c>
      <c r="F436" s="70">
        <f>+C436/E436</f>
        <v>424.8</v>
      </c>
    </row>
    <row r="437" spans="1:6" x14ac:dyDescent="0.2">
      <c r="A437" s="65"/>
      <c r="B437" s="66"/>
      <c r="C437" s="67">
        <v>0</v>
      </c>
      <c r="D437" s="68"/>
      <c r="E437" s="71"/>
      <c r="F437" s="70">
        <v>0</v>
      </c>
    </row>
    <row r="438" spans="1:6" x14ac:dyDescent="0.2">
      <c r="A438" s="65"/>
      <c r="B438" s="66"/>
      <c r="C438" s="67">
        <v>0</v>
      </c>
      <c r="D438" s="68"/>
      <c r="E438" s="71"/>
      <c r="F438" s="70">
        <v>0</v>
      </c>
    </row>
    <row r="439" spans="1:6" ht="15" x14ac:dyDescent="0.25">
      <c r="A439" s="72"/>
      <c r="B439" s="73"/>
      <c r="C439" s="408" t="s">
        <v>163</v>
      </c>
      <c r="D439" s="408"/>
      <c r="E439" s="409"/>
      <c r="F439" s="74">
        <f>SUM(F435:F438)</f>
        <v>12189.50588235294</v>
      </c>
    </row>
    <row r="440" spans="1:6" x14ac:dyDescent="0.2">
      <c r="A440" s="75" t="s">
        <v>164</v>
      </c>
      <c r="B440" s="76"/>
      <c r="C440" s="76"/>
      <c r="D440" s="77"/>
      <c r="E440" s="78"/>
      <c r="F440" s="79"/>
    </row>
    <row r="441" spans="1:6" x14ac:dyDescent="0.2">
      <c r="A441" s="61" t="s">
        <v>158</v>
      </c>
      <c r="B441" s="62" t="s">
        <v>159</v>
      </c>
      <c r="C441" s="406" t="s">
        <v>7</v>
      </c>
      <c r="D441" s="407"/>
      <c r="E441" s="63" t="s">
        <v>165</v>
      </c>
      <c r="F441" s="64" t="s">
        <v>162</v>
      </c>
    </row>
    <row r="442" spans="1:6" x14ac:dyDescent="0.2">
      <c r="A442" s="85">
        <v>0</v>
      </c>
      <c r="B442" s="66">
        <v>0</v>
      </c>
      <c r="C442" s="86"/>
      <c r="D442" s="82"/>
      <c r="E442" s="83">
        <v>0</v>
      </c>
      <c r="F442" s="84">
        <v>0</v>
      </c>
    </row>
    <row r="443" spans="1:6" x14ac:dyDescent="0.2">
      <c r="A443" s="85">
        <v>0</v>
      </c>
      <c r="B443" s="66">
        <v>0</v>
      </c>
      <c r="C443" s="86"/>
      <c r="D443" s="82"/>
      <c r="E443" s="83">
        <v>0</v>
      </c>
      <c r="F443" s="84">
        <v>0</v>
      </c>
    </row>
    <row r="444" spans="1:6" x14ac:dyDescent="0.2">
      <c r="A444" s="65">
        <v>0</v>
      </c>
      <c r="B444" s="66">
        <v>0</v>
      </c>
      <c r="C444" s="87"/>
      <c r="D444" s="82"/>
      <c r="E444" s="83">
        <v>0</v>
      </c>
      <c r="F444" s="84">
        <v>0</v>
      </c>
    </row>
    <row r="445" spans="1:6" x14ac:dyDescent="0.2">
      <c r="A445" s="65">
        <v>0</v>
      </c>
      <c r="B445" s="66">
        <v>0</v>
      </c>
      <c r="C445" s="87"/>
      <c r="D445" s="82"/>
      <c r="E445" s="83">
        <v>0</v>
      </c>
      <c r="F445" s="84">
        <v>0</v>
      </c>
    </row>
    <row r="446" spans="1:6" x14ac:dyDescent="0.2">
      <c r="A446" s="65">
        <v>0</v>
      </c>
      <c r="B446" s="66">
        <v>0</v>
      </c>
      <c r="C446" s="87"/>
      <c r="D446" s="82"/>
      <c r="E446" s="83">
        <v>0</v>
      </c>
      <c r="F446" s="84">
        <v>0</v>
      </c>
    </row>
    <row r="447" spans="1:6" ht="15" x14ac:dyDescent="0.25">
      <c r="A447" s="72"/>
      <c r="B447" s="73"/>
      <c r="C447" s="408" t="s">
        <v>167</v>
      </c>
      <c r="D447" s="408"/>
      <c r="E447" s="409"/>
      <c r="F447" s="74">
        <f>SUM(F442:F446)</f>
        <v>0</v>
      </c>
    </row>
    <row r="448" spans="1:6" x14ac:dyDescent="0.2">
      <c r="A448" s="72" t="s">
        <v>168</v>
      </c>
      <c r="B448" s="73"/>
      <c r="C448" s="73"/>
      <c r="D448" s="88"/>
      <c r="E448" s="89"/>
      <c r="F448" s="90"/>
    </row>
    <row r="449" spans="1:6" x14ac:dyDescent="0.2">
      <c r="A449" s="61" t="s">
        <v>158</v>
      </c>
      <c r="B449" s="62" t="s">
        <v>159</v>
      </c>
      <c r="C449" s="62" t="s">
        <v>169</v>
      </c>
      <c r="D449" s="91" t="s">
        <v>170</v>
      </c>
      <c r="E449" s="63" t="s">
        <v>161</v>
      </c>
      <c r="F449" s="64" t="s">
        <v>171</v>
      </c>
    </row>
    <row r="450" spans="1:6" x14ac:dyDescent="0.2">
      <c r="A450" s="65" t="s">
        <v>190</v>
      </c>
      <c r="B450" s="92" t="s">
        <v>191</v>
      </c>
      <c r="C450" s="93">
        <v>1.65</v>
      </c>
      <c r="D450" s="94">
        <f>+Lista_prec_base!C43</f>
        <v>67000</v>
      </c>
      <c r="E450" s="95">
        <v>63.305999999999997</v>
      </c>
      <c r="F450" s="70">
        <f>+C450*D450/E450</f>
        <v>1746.2799734622311</v>
      </c>
    </row>
    <row r="451" spans="1:6" x14ac:dyDescent="0.2">
      <c r="A451" s="65">
        <v>0</v>
      </c>
      <c r="B451" s="92">
        <v>0</v>
      </c>
      <c r="C451" s="93"/>
      <c r="D451" s="94">
        <v>0</v>
      </c>
      <c r="E451" s="96"/>
      <c r="F451" s="97">
        <v>0</v>
      </c>
    </row>
    <row r="452" spans="1:6" x14ac:dyDescent="0.2">
      <c r="A452" s="65">
        <v>0</v>
      </c>
      <c r="B452" s="92">
        <v>0</v>
      </c>
      <c r="C452" s="93"/>
      <c r="D452" s="94">
        <v>0</v>
      </c>
      <c r="E452" s="96"/>
      <c r="F452" s="97">
        <v>0</v>
      </c>
    </row>
    <row r="453" spans="1:6" ht="15" x14ac:dyDescent="0.25">
      <c r="A453" s="72"/>
      <c r="B453" s="73"/>
      <c r="C453" s="408" t="s">
        <v>172</v>
      </c>
      <c r="D453" s="408"/>
      <c r="E453" s="409"/>
      <c r="F453" s="74">
        <f>+F450</f>
        <v>1746.2799734622311</v>
      </c>
    </row>
    <row r="454" spans="1:6" x14ac:dyDescent="0.2">
      <c r="A454" s="75" t="s">
        <v>173</v>
      </c>
      <c r="B454" s="76"/>
      <c r="C454" s="76"/>
      <c r="D454" s="77"/>
      <c r="E454" s="78"/>
      <c r="F454" s="79"/>
    </row>
    <row r="455" spans="1:6" x14ac:dyDescent="0.2">
      <c r="A455" s="61" t="s">
        <v>158</v>
      </c>
      <c r="B455" s="62" t="s">
        <v>159</v>
      </c>
      <c r="C455" s="62" t="s">
        <v>174</v>
      </c>
      <c r="D455" s="98" t="s">
        <v>175</v>
      </c>
      <c r="E455" s="63" t="s">
        <v>165</v>
      </c>
      <c r="F455" s="64" t="s">
        <v>162</v>
      </c>
    </row>
    <row r="456" spans="1:6" x14ac:dyDescent="0.2">
      <c r="A456" s="65" t="s">
        <v>226</v>
      </c>
      <c r="B456" s="66" t="s">
        <v>196</v>
      </c>
      <c r="C456" s="99"/>
      <c r="D456" s="81">
        <v>1.3005427181593174</v>
      </c>
      <c r="E456" s="83">
        <f>+Lista_prec_base!C36</f>
        <v>3496</v>
      </c>
      <c r="F456" s="84">
        <f>+D456*E456</f>
        <v>4546.6973426849736</v>
      </c>
    </row>
    <row r="457" spans="1:6" x14ac:dyDescent="0.2">
      <c r="A457" s="65">
        <v>0</v>
      </c>
      <c r="B457" s="66">
        <v>0</v>
      </c>
      <c r="C457" s="99"/>
      <c r="D457" s="81"/>
      <c r="E457" s="83">
        <v>0</v>
      </c>
      <c r="F457" s="84">
        <v>0</v>
      </c>
    </row>
    <row r="458" spans="1:6" ht="15" x14ac:dyDescent="0.25">
      <c r="A458" s="72"/>
      <c r="B458" s="73"/>
      <c r="C458" s="408" t="s">
        <v>176</v>
      </c>
      <c r="D458" s="408"/>
      <c r="E458" s="409"/>
      <c r="F458" s="74">
        <f>+F456</f>
        <v>4546.6973426849736</v>
      </c>
    </row>
    <row r="459" spans="1:6" ht="15" thickBot="1" x14ac:dyDescent="0.25">
      <c r="A459" s="75"/>
      <c r="B459" s="76"/>
      <c r="C459" s="76"/>
      <c r="D459" s="77"/>
      <c r="E459" s="78"/>
      <c r="F459" s="79"/>
    </row>
    <row r="460" spans="1:6" ht="15.75" thickBot="1" x14ac:dyDescent="0.3">
      <c r="A460" s="100" t="s">
        <v>177</v>
      </c>
      <c r="B460" s="101"/>
      <c r="C460" s="101"/>
      <c r="D460" s="101"/>
      <c r="E460" s="102"/>
      <c r="F460" s="103">
        <f>+F439+F447+F453+F458</f>
        <v>18482.483198500144</v>
      </c>
    </row>
    <row r="461" spans="1:6" ht="15" x14ac:dyDescent="0.25">
      <c r="A461" s="104" t="s">
        <v>178</v>
      </c>
      <c r="B461" s="105"/>
      <c r="C461" s="105"/>
      <c r="D461" s="105"/>
      <c r="E461" s="105"/>
      <c r="F461" s="106" t="s">
        <v>179</v>
      </c>
    </row>
    <row r="462" spans="1:6" x14ac:dyDescent="0.2">
      <c r="A462" s="399" t="s">
        <v>158</v>
      </c>
      <c r="B462" s="400"/>
      <c r="C462" s="400"/>
      <c r="D462" s="400"/>
      <c r="E462" s="107" t="s">
        <v>144</v>
      </c>
      <c r="F462" s="108"/>
    </row>
    <row r="463" spans="1:6" x14ac:dyDescent="0.2">
      <c r="A463" s="399" t="s">
        <v>180</v>
      </c>
      <c r="B463" s="400"/>
      <c r="C463" s="400"/>
      <c r="D463" s="400"/>
      <c r="E463" s="109">
        <v>0.23</v>
      </c>
      <c r="F463" s="108">
        <f>+E463*F460</f>
        <v>4250.9711356550333</v>
      </c>
    </row>
    <row r="464" spans="1:6" x14ac:dyDescent="0.2">
      <c r="A464" s="399" t="s">
        <v>181</v>
      </c>
      <c r="B464" s="400"/>
      <c r="C464" s="400"/>
      <c r="D464" s="400"/>
      <c r="E464" s="109">
        <v>0.02</v>
      </c>
      <c r="F464" s="108">
        <f>+E464*F460</f>
        <v>369.6496639700029</v>
      </c>
    </row>
    <row r="465" spans="1:6" x14ac:dyDescent="0.2">
      <c r="A465" s="399" t="s">
        <v>182</v>
      </c>
      <c r="B465" s="400"/>
      <c r="C465" s="400"/>
      <c r="D465" s="400"/>
      <c r="E465" s="109">
        <v>0.05</v>
      </c>
      <c r="F465" s="108">
        <f>+E465*F460</f>
        <v>924.12415992500723</v>
      </c>
    </row>
    <row r="466" spans="1:6" x14ac:dyDescent="0.2">
      <c r="A466" s="110" t="s">
        <v>183</v>
      </c>
      <c r="B466" s="111"/>
      <c r="C466" s="111"/>
      <c r="D466" s="111"/>
      <c r="E466" s="109"/>
      <c r="F466" s="108">
        <v>0</v>
      </c>
    </row>
    <row r="467" spans="1:6" ht="15" x14ac:dyDescent="0.2">
      <c r="A467" s="112"/>
      <c r="B467" s="113"/>
      <c r="C467" s="113"/>
      <c r="D467" s="113"/>
      <c r="E467" s="114" t="s">
        <v>184</v>
      </c>
      <c r="F467" s="115">
        <f>+F463+F464+F465</f>
        <v>5544.7449595500429</v>
      </c>
    </row>
    <row r="468" spans="1:6" ht="15.75" thickBot="1" x14ac:dyDescent="0.3">
      <c r="A468" s="401" t="s">
        <v>185</v>
      </c>
      <c r="B468" s="402"/>
      <c r="C468" s="402"/>
      <c r="D468" s="402"/>
      <c r="E468" s="402"/>
      <c r="F468" s="116">
        <f>+F460+F467</f>
        <v>24027.228158050188</v>
      </c>
    </row>
    <row r="469" spans="1:6" x14ac:dyDescent="0.2">
      <c r="A469" s="41" t="s">
        <v>153</v>
      </c>
      <c r="B469" s="117" t="s">
        <v>90</v>
      </c>
      <c r="C469" s="43"/>
      <c r="D469" s="44"/>
      <c r="E469" s="45"/>
      <c r="F469" s="46"/>
    </row>
    <row r="470" spans="1:6" x14ac:dyDescent="0.2">
      <c r="A470" s="48" t="s">
        <v>154</v>
      </c>
      <c r="B470" s="410" t="s">
        <v>91</v>
      </c>
      <c r="C470" s="411"/>
      <c r="D470" s="411"/>
      <c r="E470" s="411"/>
      <c r="F470" s="412"/>
    </row>
    <row r="471" spans="1:6" ht="15" thickBot="1" x14ac:dyDescent="0.25">
      <c r="A471" s="50" t="s">
        <v>156</v>
      </c>
      <c r="B471" s="51" t="s">
        <v>84</v>
      </c>
      <c r="C471" s="52"/>
      <c r="D471" s="53"/>
      <c r="E471" s="52"/>
      <c r="F471" s="54"/>
    </row>
    <row r="472" spans="1:6" x14ac:dyDescent="0.2">
      <c r="A472" s="55" t="s">
        <v>157</v>
      </c>
      <c r="B472" s="56"/>
      <c r="C472" s="57"/>
      <c r="D472" s="58"/>
      <c r="E472" s="59"/>
      <c r="F472" s="60"/>
    </row>
    <row r="473" spans="1:6" x14ac:dyDescent="0.2">
      <c r="A473" s="61" t="s">
        <v>158</v>
      </c>
      <c r="B473" s="62" t="s">
        <v>159</v>
      </c>
      <c r="C473" s="406" t="s">
        <v>160</v>
      </c>
      <c r="D473" s="407"/>
      <c r="E473" s="63" t="s">
        <v>161</v>
      </c>
      <c r="F473" s="64" t="s">
        <v>162</v>
      </c>
    </row>
    <row r="474" spans="1:6" x14ac:dyDescent="0.2">
      <c r="A474" s="65" t="s">
        <v>227</v>
      </c>
      <c r="B474" s="66" t="s">
        <v>189</v>
      </c>
      <c r="C474" s="67">
        <f>+Lista_prec_base!C37</f>
        <v>100000</v>
      </c>
      <c r="D474" s="68"/>
      <c r="E474" s="69">
        <v>20</v>
      </c>
      <c r="F474" s="70">
        <f>+C474/E474</f>
        <v>5000</v>
      </c>
    </row>
    <row r="475" spans="1:6" x14ac:dyDescent="0.2">
      <c r="A475" s="65" t="s">
        <v>188</v>
      </c>
      <c r="B475" s="66" t="s">
        <v>189</v>
      </c>
      <c r="C475" s="67">
        <f>+Lista_prec_base!C35</f>
        <v>8496</v>
      </c>
      <c r="D475" s="68"/>
      <c r="E475" s="69">
        <v>20</v>
      </c>
      <c r="F475" s="70">
        <f>+C475/E475</f>
        <v>424.8</v>
      </c>
    </row>
    <row r="476" spans="1:6" x14ac:dyDescent="0.2">
      <c r="A476" s="65"/>
      <c r="B476" s="66"/>
      <c r="C476" s="67">
        <v>0</v>
      </c>
      <c r="D476" s="68"/>
      <c r="E476" s="71"/>
      <c r="F476" s="70">
        <v>0</v>
      </c>
    </row>
    <row r="477" spans="1:6" x14ac:dyDescent="0.2">
      <c r="A477" s="65"/>
      <c r="B477" s="66"/>
      <c r="C477" s="67">
        <v>0</v>
      </c>
      <c r="D477" s="68"/>
      <c r="E477" s="71"/>
      <c r="F477" s="70">
        <v>0</v>
      </c>
    </row>
    <row r="478" spans="1:6" ht="15" x14ac:dyDescent="0.25">
      <c r="A478" s="72"/>
      <c r="B478" s="73"/>
      <c r="C478" s="408" t="s">
        <v>163</v>
      </c>
      <c r="D478" s="408"/>
      <c r="E478" s="409"/>
      <c r="F478" s="74">
        <f>SUM(F474:F477)</f>
        <v>5424.8</v>
      </c>
    </row>
    <row r="479" spans="1:6" x14ac:dyDescent="0.2">
      <c r="A479" s="75" t="s">
        <v>164</v>
      </c>
      <c r="B479" s="76"/>
      <c r="C479" s="76"/>
      <c r="D479" s="77"/>
      <c r="E479" s="78"/>
      <c r="F479" s="79"/>
    </row>
    <row r="480" spans="1:6" x14ac:dyDescent="0.2">
      <c r="A480" s="61" t="s">
        <v>158</v>
      </c>
      <c r="B480" s="62" t="s">
        <v>159</v>
      </c>
      <c r="C480" s="406" t="s">
        <v>7</v>
      </c>
      <c r="D480" s="407"/>
      <c r="E480" s="63" t="s">
        <v>165</v>
      </c>
      <c r="F480" s="64" t="s">
        <v>162</v>
      </c>
    </row>
    <row r="481" spans="1:6" x14ac:dyDescent="0.2">
      <c r="A481" s="85" t="s">
        <v>228</v>
      </c>
      <c r="B481" s="66" t="s">
        <v>229</v>
      </c>
      <c r="C481" s="86">
        <v>1</v>
      </c>
      <c r="D481" s="82"/>
      <c r="E481" s="83">
        <f>+Lista_prec_base!C17</f>
        <v>12000</v>
      </c>
      <c r="F481" s="84">
        <f>+E481*C481</f>
        <v>12000</v>
      </c>
    </row>
    <row r="482" spans="1:6" x14ac:dyDescent="0.2">
      <c r="A482" s="85">
        <v>0</v>
      </c>
      <c r="B482" s="66">
        <v>0</v>
      </c>
      <c r="C482" s="86"/>
      <c r="D482" s="82"/>
      <c r="E482" s="83">
        <v>0</v>
      </c>
      <c r="F482" s="84">
        <v>0</v>
      </c>
    </row>
    <row r="483" spans="1:6" x14ac:dyDescent="0.2">
      <c r="A483" s="65">
        <v>0</v>
      </c>
      <c r="B483" s="66">
        <v>0</v>
      </c>
      <c r="C483" s="87"/>
      <c r="D483" s="82"/>
      <c r="E483" s="83">
        <v>0</v>
      </c>
      <c r="F483" s="84">
        <v>0</v>
      </c>
    </row>
    <row r="484" spans="1:6" x14ac:dyDescent="0.2">
      <c r="A484" s="65">
        <v>0</v>
      </c>
      <c r="B484" s="66">
        <v>0</v>
      </c>
      <c r="C484" s="87"/>
      <c r="D484" s="82"/>
      <c r="E484" s="83">
        <v>0</v>
      </c>
      <c r="F484" s="84">
        <v>0</v>
      </c>
    </row>
    <row r="485" spans="1:6" x14ac:dyDescent="0.2">
      <c r="A485" s="65">
        <v>0</v>
      </c>
      <c r="B485" s="66">
        <v>0</v>
      </c>
      <c r="C485" s="87"/>
      <c r="D485" s="82"/>
      <c r="E485" s="83">
        <v>0</v>
      </c>
      <c r="F485" s="84">
        <v>0</v>
      </c>
    </row>
    <row r="486" spans="1:6" ht="15" x14ac:dyDescent="0.25">
      <c r="A486" s="72"/>
      <c r="B486" s="73"/>
      <c r="C486" s="408" t="s">
        <v>167</v>
      </c>
      <c r="D486" s="408"/>
      <c r="E486" s="409"/>
      <c r="F486" s="74">
        <f>SUM(F481:F485)</f>
        <v>12000</v>
      </c>
    </row>
    <row r="487" spans="1:6" x14ac:dyDescent="0.2">
      <c r="A487" s="72" t="s">
        <v>168</v>
      </c>
      <c r="B487" s="73"/>
      <c r="C487" s="73"/>
      <c r="D487" s="88"/>
      <c r="E487" s="89"/>
      <c r="F487" s="90"/>
    </row>
    <row r="488" spans="1:6" x14ac:dyDescent="0.2">
      <c r="A488" s="61" t="s">
        <v>158</v>
      </c>
      <c r="B488" s="62" t="s">
        <v>159</v>
      </c>
      <c r="C488" s="62" t="s">
        <v>169</v>
      </c>
      <c r="D488" s="91" t="s">
        <v>170</v>
      </c>
      <c r="E488" s="63" t="s">
        <v>161</v>
      </c>
      <c r="F488" s="64" t="s">
        <v>171</v>
      </c>
    </row>
    <row r="489" spans="1:6" x14ac:dyDescent="0.2">
      <c r="A489" s="65" t="s">
        <v>190</v>
      </c>
      <c r="B489" s="92" t="s">
        <v>191</v>
      </c>
      <c r="C489" s="93">
        <v>1.65</v>
      </c>
      <c r="D489" s="94">
        <f>+Lista_prec_base!C43</f>
        <v>67000</v>
      </c>
      <c r="E489" s="95">
        <v>16.486999999999998</v>
      </c>
      <c r="F489" s="70">
        <f>+C489*D489/E489</f>
        <v>6705.2829502031909</v>
      </c>
    </row>
    <row r="490" spans="1:6" x14ac:dyDescent="0.2">
      <c r="A490" s="65">
        <v>0</v>
      </c>
      <c r="B490" s="92">
        <v>0</v>
      </c>
      <c r="C490" s="93"/>
      <c r="D490" s="94">
        <v>0</v>
      </c>
      <c r="E490" s="96"/>
      <c r="F490" s="97">
        <v>0</v>
      </c>
    </row>
    <row r="491" spans="1:6" x14ac:dyDescent="0.2">
      <c r="A491" s="65">
        <v>0</v>
      </c>
      <c r="B491" s="92">
        <v>0</v>
      </c>
      <c r="C491" s="93"/>
      <c r="D491" s="94">
        <v>0</v>
      </c>
      <c r="E491" s="96"/>
      <c r="F491" s="97">
        <v>0</v>
      </c>
    </row>
    <row r="492" spans="1:6" ht="15" x14ac:dyDescent="0.25">
      <c r="A492" s="72"/>
      <c r="B492" s="73"/>
      <c r="C492" s="408" t="s">
        <v>172</v>
      </c>
      <c r="D492" s="408"/>
      <c r="E492" s="409"/>
      <c r="F492" s="74">
        <f>+F489</f>
        <v>6705.2829502031909</v>
      </c>
    </row>
    <row r="493" spans="1:6" x14ac:dyDescent="0.2">
      <c r="A493" s="75" t="s">
        <v>173</v>
      </c>
      <c r="B493" s="76"/>
      <c r="C493" s="76"/>
      <c r="D493" s="77"/>
      <c r="E493" s="78"/>
      <c r="F493" s="79"/>
    </row>
    <row r="494" spans="1:6" x14ac:dyDescent="0.2">
      <c r="A494" s="61" t="s">
        <v>158</v>
      </c>
      <c r="B494" s="62" t="s">
        <v>159</v>
      </c>
      <c r="C494" s="62" t="s">
        <v>174</v>
      </c>
      <c r="D494" s="98" t="s">
        <v>175</v>
      </c>
      <c r="E494" s="63" t="s">
        <v>165</v>
      </c>
      <c r="F494" s="64" t="s">
        <v>162</v>
      </c>
    </row>
    <row r="495" spans="1:6" x14ac:dyDescent="0.2">
      <c r="A495" s="65"/>
      <c r="B495" s="66"/>
      <c r="C495" s="99"/>
      <c r="D495" s="81"/>
      <c r="E495" s="83"/>
      <c r="F495" s="84"/>
    </row>
    <row r="496" spans="1:6" x14ac:dyDescent="0.2">
      <c r="A496" s="65">
        <v>0</v>
      </c>
      <c r="B496" s="66">
        <v>0</v>
      </c>
      <c r="C496" s="99"/>
      <c r="D496" s="81"/>
      <c r="E496" s="83">
        <v>0</v>
      </c>
      <c r="F496" s="84">
        <v>0</v>
      </c>
    </row>
    <row r="497" spans="1:6" ht="15" x14ac:dyDescent="0.25">
      <c r="A497" s="72"/>
      <c r="B497" s="73"/>
      <c r="C497" s="408" t="s">
        <v>176</v>
      </c>
      <c r="D497" s="408"/>
      <c r="E497" s="409"/>
      <c r="F497" s="74">
        <f>+F495</f>
        <v>0</v>
      </c>
    </row>
    <row r="498" spans="1:6" ht="15" thickBot="1" x14ac:dyDescent="0.25">
      <c r="A498" s="75"/>
      <c r="B498" s="76"/>
      <c r="C498" s="76"/>
      <c r="D498" s="77"/>
      <c r="E498" s="78"/>
      <c r="F498" s="79"/>
    </row>
    <row r="499" spans="1:6" ht="15.75" thickBot="1" x14ac:dyDescent="0.3">
      <c r="A499" s="100" t="s">
        <v>177</v>
      </c>
      <c r="B499" s="101"/>
      <c r="C499" s="101"/>
      <c r="D499" s="101"/>
      <c r="E499" s="102"/>
      <c r="F499" s="103">
        <f>+F478+F486+F492+F497</f>
        <v>24130.082950203192</v>
      </c>
    </row>
    <row r="500" spans="1:6" ht="15" x14ac:dyDescent="0.25">
      <c r="A500" s="104" t="s">
        <v>178</v>
      </c>
      <c r="B500" s="105"/>
      <c r="C500" s="105"/>
      <c r="D500" s="105"/>
      <c r="E500" s="105"/>
      <c r="F500" s="106" t="s">
        <v>179</v>
      </c>
    </row>
    <row r="501" spans="1:6" x14ac:dyDescent="0.2">
      <c r="A501" s="399" t="s">
        <v>158</v>
      </c>
      <c r="B501" s="400"/>
      <c r="C501" s="400"/>
      <c r="D501" s="400"/>
      <c r="E501" s="107" t="s">
        <v>144</v>
      </c>
      <c r="F501" s="108"/>
    </row>
    <row r="502" spans="1:6" x14ac:dyDescent="0.2">
      <c r="A502" s="399" t="s">
        <v>180</v>
      </c>
      <c r="B502" s="400"/>
      <c r="C502" s="400"/>
      <c r="D502" s="400"/>
      <c r="E502" s="109">
        <v>0.23</v>
      </c>
      <c r="F502" s="108">
        <f>+E502*F499</f>
        <v>5549.9190785467345</v>
      </c>
    </row>
    <row r="503" spans="1:6" x14ac:dyDescent="0.2">
      <c r="A503" s="399" t="s">
        <v>181</v>
      </c>
      <c r="B503" s="400"/>
      <c r="C503" s="400"/>
      <c r="D503" s="400"/>
      <c r="E503" s="109">
        <v>0.02</v>
      </c>
      <c r="F503" s="108">
        <f>+E503*F499</f>
        <v>482.60165900406383</v>
      </c>
    </row>
    <row r="504" spans="1:6" x14ac:dyDescent="0.2">
      <c r="A504" s="399" t="s">
        <v>182</v>
      </c>
      <c r="B504" s="400"/>
      <c r="C504" s="400"/>
      <c r="D504" s="400"/>
      <c r="E504" s="109">
        <v>0.05</v>
      </c>
      <c r="F504" s="108">
        <f>+E504*F499</f>
        <v>1206.5041475101596</v>
      </c>
    </row>
    <row r="505" spans="1:6" x14ac:dyDescent="0.2">
      <c r="A505" s="110" t="s">
        <v>183</v>
      </c>
      <c r="B505" s="111"/>
      <c r="C505" s="111"/>
      <c r="D505" s="111"/>
      <c r="E505" s="109"/>
      <c r="F505" s="108">
        <v>0</v>
      </c>
    </row>
    <row r="506" spans="1:6" ht="15" x14ac:dyDescent="0.2">
      <c r="A506" s="112"/>
      <c r="B506" s="113"/>
      <c r="C506" s="113"/>
      <c r="D506" s="113"/>
      <c r="E506" s="114" t="s">
        <v>184</v>
      </c>
      <c r="F506" s="115">
        <f>+F502+F503+F504</f>
        <v>7239.0248850609578</v>
      </c>
    </row>
    <row r="507" spans="1:6" ht="15.75" thickBot="1" x14ac:dyDescent="0.3">
      <c r="A507" s="401" t="s">
        <v>185</v>
      </c>
      <c r="B507" s="402"/>
      <c r="C507" s="402"/>
      <c r="D507" s="402"/>
      <c r="E507" s="402"/>
      <c r="F507" s="116">
        <f>+F499+F506</f>
        <v>31369.107835264149</v>
      </c>
    </row>
    <row r="508" spans="1:6" x14ac:dyDescent="0.2">
      <c r="A508" s="41" t="s">
        <v>153</v>
      </c>
      <c r="B508" s="117" t="s">
        <v>92</v>
      </c>
      <c r="C508" s="43"/>
      <c r="D508" s="44"/>
      <c r="E508" s="45"/>
      <c r="F508" s="46"/>
    </row>
    <row r="509" spans="1:6" x14ac:dyDescent="0.2">
      <c r="A509" s="48" t="s">
        <v>154</v>
      </c>
      <c r="B509" s="403" t="s">
        <v>230</v>
      </c>
      <c r="C509" s="404"/>
      <c r="D509" s="404"/>
      <c r="E509" s="404"/>
      <c r="F509" s="405"/>
    </row>
    <row r="510" spans="1:6" ht="15" thickBot="1" x14ac:dyDescent="0.25">
      <c r="A510" s="50" t="s">
        <v>156</v>
      </c>
      <c r="B510" s="51" t="s">
        <v>33</v>
      </c>
      <c r="C510" s="52"/>
      <c r="D510" s="53"/>
      <c r="E510" s="52"/>
      <c r="F510" s="54"/>
    </row>
    <row r="511" spans="1:6" x14ac:dyDescent="0.2">
      <c r="A511" s="55" t="s">
        <v>157</v>
      </c>
      <c r="B511" s="56"/>
      <c r="C511" s="57"/>
      <c r="D511" s="58"/>
      <c r="E511" s="59"/>
      <c r="F511" s="60"/>
    </row>
    <row r="512" spans="1:6" x14ac:dyDescent="0.2">
      <c r="A512" s="61" t="s">
        <v>158</v>
      </c>
      <c r="B512" s="62" t="s">
        <v>159</v>
      </c>
      <c r="C512" s="406" t="s">
        <v>160</v>
      </c>
      <c r="D512" s="407"/>
      <c r="E512" s="63" t="s">
        <v>161</v>
      </c>
      <c r="F512" s="64" t="s">
        <v>162</v>
      </c>
    </row>
    <row r="513" spans="1:6" x14ac:dyDescent="0.2">
      <c r="A513" s="65" t="s">
        <v>188</v>
      </c>
      <c r="B513" s="66" t="s">
        <v>189</v>
      </c>
      <c r="C513" s="67">
        <f>+Lista_prec_base!C35</f>
        <v>8496</v>
      </c>
      <c r="D513" s="68"/>
      <c r="E513" s="69">
        <v>4</v>
      </c>
      <c r="F513" s="70">
        <f>+C513/E513</f>
        <v>2124</v>
      </c>
    </row>
    <row r="514" spans="1:6" x14ac:dyDescent="0.2">
      <c r="A514" s="65"/>
      <c r="B514" s="66"/>
      <c r="C514" s="67"/>
      <c r="D514" s="68"/>
      <c r="E514" s="69"/>
      <c r="F514" s="70"/>
    </row>
    <row r="515" spans="1:6" x14ac:dyDescent="0.2">
      <c r="A515" s="65"/>
      <c r="B515" s="66"/>
      <c r="C515" s="67">
        <v>0</v>
      </c>
      <c r="D515" s="68"/>
      <c r="E515" s="71"/>
      <c r="F515" s="70">
        <v>0</v>
      </c>
    </row>
    <row r="516" spans="1:6" x14ac:dyDescent="0.2">
      <c r="A516" s="65"/>
      <c r="B516" s="66"/>
      <c r="C516" s="67">
        <v>0</v>
      </c>
      <c r="D516" s="68"/>
      <c r="E516" s="71"/>
      <c r="F516" s="70">
        <v>0</v>
      </c>
    </row>
    <row r="517" spans="1:6" ht="15" x14ac:dyDescent="0.25">
      <c r="A517" s="72"/>
      <c r="B517" s="73"/>
      <c r="C517" s="408" t="s">
        <v>163</v>
      </c>
      <c r="D517" s="408"/>
      <c r="E517" s="409"/>
      <c r="F517" s="74">
        <f>SUM(F513:F516)</f>
        <v>2124</v>
      </c>
    </row>
    <row r="518" spans="1:6" x14ac:dyDescent="0.2">
      <c r="A518" s="75" t="s">
        <v>164</v>
      </c>
      <c r="B518" s="76"/>
      <c r="C518" s="76"/>
      <c r="D518" s="77"/>
      <c r="E518" s="78"/>
      <c r="F518" s="79"/>
    </row>
    <row r="519" spans="1:6" x14ac:dyDescent="0.2">
      <c r="A519" s="61" t="s">
        <v>158</v>
      </c>
      <c r="B519" s="62" t="s">
        <v>159</v>
      </c>
      <c r="C519" s="406" t="s">
        <v>7</v>
      </c>
      <c r="D519" s="407"/>
      <c r="E519" s="63" t="s">
        <v>165</v>
      </c>
      <c r="F519" s="64" t="s">
        <v>162</v>
      </c>
    </row>
    <row r="520" spans="1:6" x14ac:dyDescent="0.2">
      <c r="A520" s="118">
        <v>0</v>
      </c>
      <c r="B520" s="66">
        <v>0</v>
      </c>
      <c r="C520" s="86"/>
      <c r="D520" s="82"/>
      <c r="E520" s="83">
        <v>0</v>
      </c>
      <c r="F520" s="84">
        <v>0</v>
      </c>
    </row>
    <row r="521" spans="1:6" x14ac:dyDescent="0.2">
      <c r="A521" s="85">
        <v>0</v>
      </c>
      <c r="B521" s="66">
        <v>0</v>
      </c>
      <c r="C521" s="86"/>
      <c r="D521" s="82"/>
      <c r="E521" s="83">
        <v>0</v>
      </c>
      <c r="F521" s="84">
        <v>0</v>
      </c>
    </row>
    <row r="522" spans="1:6" x14ac:dyDescent="0.2">
      <c r="A522" s="65">
        <v>0</v>
      </c>
      <c r="B522" s="66">
        <v>0</v>
      </c>
      <c r="C522" s="87"/>
      <c r="D522" s="82"/>
      <c r="E522" s="83">
        <v>0</v>
      </c>
      <c r="F522" s="84">
        <v>0</v>
      </c>
    </row>
    <row r="523" spans="1:6" x14ac:dyDescent="0.2">
      <c r="A523" s="65">
        <v>0</v>
      </c>
      <c r="B523" s="66">
        <v>0</v>
      </c>
      <c r="C523" s="87"/>
      <c r="D523" s="82"/>
      <c r="E523" s="83">
        <v>0</v>
      </c>
      <c r="F523" s="84">
        <v>0</v>
      </c>
    </row>
    <row r="524" spans="1:6" x14ac:dyDescent="0.2">
      <c r="A524" s="65">
        <v>0</v>
      </c>
      <c r="B524" s="66">
        <v>0</v>
      </c>
      <c r="C524" s="87"/>
      <c r="D524" s="82"/>
      <c r="E524" s="83">
        <v>0</v>
      </c>
      <c r="F524" s="84">
        <v>0</v>
      </c>
    </row>
    <row r="525" spans="1:6" ht="15" x14ac:dyDescent="0.25">
      <c r="A525" s="72"/>
      <c r="B525" s="73"/>
      <c r="C525" s="408" t="s">
        <v>167</v>
      </c>
      <c r="D525" s="408"/>
      <c r="E525" s="409"/>
      <c r="F525" s="74">
        <v>0</v>
      </c>
    </row>
    <row r="526" spans="1:6" x14ac:dyDescent="0.2">
      <c r="A526" s="72" t="s">
        <v>168</v>
      </c>
      <c r="B526" s="73"/>
      <c r="C526" s="73"/>
      <c r="D526" s="88"/>
      <c r="E526" s="89"/>
      <c r="F526" s="90"/>
    </row>
    <row r="527" spans="1:6" x14ac:dyDescent="0.2">
      <c r="A527" s="61" t="s">
        <v>158</v>
      </c>
      <c r="B527" s="62" t="s">
        <v>159</v>
      </c>
      <c r="C527" s="62" t="s">
        <v>169</v>
      </c>
      <c r="D527" s="91" t="s">
        <v>170</v>
      </c>
      <c r="E527" s="63" t="s">
        <v>161</v>
      </c>
      <c r="F527" s="64" t="s">
        <v>171</v>
      </c>
    </row>
    <row r="528" spans="1:6" x14ac:dyDescent="0.2">
      <c r="A528" s="65" t="s">
        <v>190</v>
      </c>
      <c r="B528" s="92" t="s">
        <v>191</v>
      </c>
      <c r="C528" s="93">
        <v>1.65</v>
      </c>
      <c r="D528" s="94">
        <f>+Lista_prec_base!C43</f>
        <v>67000</v>
      </c>
      <c r="E528" s="95">
        <v>7.7433672129004441</v>
      </c>
      <c r="F528" s="70">
        <f>+C528*D528/E528</f>
        <v>14276.734779647772</v>
      </c>
    </row>
    <row r="529" spans="1:6" x14ac:dyDescent="0.2">
      <c r="A529" s="65">
        <v>0</v>
      </c>
      <c r="B529" s="92">
        <v>0</v>
      </c>
      <c r="C529" s="93"/>
      <c r="D529" s="94">
        <v>0</v>
      </c>
      <c r="E529" s="96"/>
      <c r="F529" s="97">
        <v>0</v>
      </c>
    </row>
    <row r="530" spans="1:6" x14ac:dyDescent="0.2">
      <c r="A530" s="65">
        <v>0</v>
      </c>
      <c r="B530" s="92">
        <v>0</v>
      </c>
      <c r="C530" s="93"/>
      <c r="D530" s="94">
        <v>0</v>
      </c>
      <c r="E530" s="96"/>
      <c r="F530" s="97">
        <v>0</v>
      </c>
    </row>
    <row r="531" spans="1:6" ht="15" x14ac:dyDescent="0.25">
      <c r="A531" s="72"/>
      <c r="B531" s="73"/>
      <c r="C531" s="408" t="s">
        <v>172</v>
      </c>
      <c r="D531" s="408"/>
      <c r="E531" s="409"/>
      <c r="F531" s="74">
        <f>+F528</f>
        <v>14276.734779647772</v>
      </c>
    </row>
    <row r="532" spans="1:6" x14ac:dyDescent="0.2">
      <c r="A532" s="75" t="s">
        <v>173</v>
      </c>
      <c r="B532" s="76"/>
      <c r="C532" s="76"/>
      <c r="D532" s="77"/>
      <c r="E532" s="78"/>
      <c r="F532" s="79"/>
    </row>
    <row r="533" spans="1:6" x14ac:dyDescent="0.2">
      <c r="A533" s="61" t="s">
        <v>158</v>
      </c>
      <c r="B533" s="62" t="s">
        <v>159</v>
      </c>
      <c r="C533" s="62" t="s">
        <v>174</v>
      </c>
      <c r="D533" s="98" t="s">
        <v>175</v>
      </c>
      <c r="E533" s="63" t="s">
        <v>165</v>
      </c>
      <c r="F533" s="64" t="s">
        <v>162</v>
      </c>
    </row>
    <row r="534" spans="1:6" x14ac:dyDescent="0.2">
      <c r="A534" s="65">
        <v>0</v>
      </c>
      <c r="B534" s="66">
        <v>0</v>
      </c>
      <c r="C534" s="99"/>
      <c r="D534" s="81"/>
      <c r="E534" s="83">
        <v>0</v>
      </c>
      <c r="F534" s="84">
        <v>0</v>
      </c>
    </row>
    <row r="535" spans="1:6" x14ac:dyDescent="0.2">
      <c r="A535" s="65">
        <v>0</v>
      </c>
      <c r="B535" s="66">
        <v>0</v>
      </c>
      <c r="C535" s="99"/>
      <c r="D535" s="81"/>
      <c r="E535" s="83">
        <v>0</v>
      </c>
      <c r="F535" s="84">
        <v>0</v>
      </c>
    </row>
    <row r="536" spans="1:6" ht="15" x14ac:dyDescent="0.25">
      <c r="A536" s="72"/>
      <c r="B536" s="73"/>
      <c r="C536" s="408" t="s">
        <v>176</v>
      </c>
      <c r="D536" s="408"/>
      <c r="E536" s="409"/>
      <c r="F536" s="74">
        <v>0</v>
      </c>
    </row>
    <row r="537" spans="1:6" ht="15" thickBot="1" x14ac:dyDescent="0.25">
      <c r="A537" s="75"/>
      <c r="B537" s="76"/>
      <c r="C537" s="76"/>
      <c r="D537" s="77"/>
      <c r="E537" s="78"/>
      <c r="F537" s="79"/>
    </row>
    <row r="538" spans="1:6" ht="15.75" thickBot="1" x14ac:dyDescent="0.3">
      <c r="A538" s="100" t="s">
        <v>177</v>
      </c>
      <c r="B538" s="101"/>
      <c r="C538" s="101"/>
      <c r="D538" s="101"/>
      <c r="E538" s="102"/>
      <c r="F538" s="103">
        <f>+F531+F517</f>
        <v>16400.73477964777</v>
      </c>
    </row>
    <row r="539" spans="1:6" ht="15" x14ac:dyDescent="0.25">
      <c r="A539" s="104" t="s">
        <v>178</v>
      </c>
      <c r="B539" s="105"/>
      <c r="C539" s="105"/>
      <c r="D539" s="105"/>
      <c r="E539" s="105"/>
      <c r="F539" s="106" t="s">
        <v>179</v>
      </c>
    </row>
    <row r="540" spans="1:6" x14ac:dyDescent="0.2">
      <c r="A540" s="399" t="s">
        <v>158</v>
      </c>
      <c r="B540" s="400"/>
      <c r="C540" s="400"/>
      <c r="D540" s="400"/>
      <c r="E540" s="107" t="s">
        <v>144</v>
      </c>
      <c r="F540" s="108"/>
    </row>
    <row r="541" spans="1:6" x14ac:dyDescent="0.2">
      <c r="A541" s="399" t="s">
        <v>180</v>
      </c>
      <c r="B541" s="400"/>
      <c r="C541" s="400"/>
      <c r="D541" s="400"/>
      <c r="E541" s="109">
        <v>0.23</v>
      </c>
      <c r="F541" s="108">
        <f>+E541*F538</f>
        <v>3772.1689993189871</v>
      </c>
    </row>
    <row r="542" spans="1:6" x14ac:dyDescent="0.2">
      <c r="A542" s="399" t="s">
        <v>181</v>
      </c>
      <c r="B542" s="400"/>
      <c r="C542" s="400"/>
      <c r="D542" s="400"/>
      <c r="E542" s="109">
        <v>0.02</v>
      </c>
      <c r="F542" s="108">
        <f>+E542*F538</f>
        <v>328.01469559295538</v>
      </c>
    </row>
    <row r="543" spans="1:6" x14ac:dyDescent="0.2">
      <c r="A543" s="399" t="s">
        <v>182</v>
      </c>
      <c r="B543" s="400"/>
      <c r="C543" s="400"/>
      <c r="D543" s="400"/>
      <c r="E543" s="109">
        <v>0.05</v>
      </c>
      <c r="F543" s="108">
        <f>+E543*F538</f>
        <v>820.03673898238856</v>
      </c>
    </row>
    <row r="544" spans="1:6" x14ac:dyDescent="0.2">
      <c r="A544" s="110" t="s">
        <v>183</v>
      </c>
      <c r="B544" s="111"/>
      <c r="C544" s="111"/>
      <c r="D544" s="111"/>
      <c r="E544" s="109"/>
      <c r="F544" s="108">
        <v>0</v>
      </c>
    </row>
    <row r="545" spans="1:6" ht="15" x14ac:dyDescent="0.2">
      <c r="A545" s="112"/>
      <c r="B545" s="113"/>
      <c r="C545" s="113"/>
      <c r="D545" s="113"/>
      <c r="E545" s="114" t="s">
        <v>184</v>
      </c>
      <c r="F545" s="115">
        <f>+F541+F542+F543</f>
        <v>4920.2204338943311</v>
      </c>
    </row>
    <row r="546" spans="1:6" ht="15.75" thickBot="1" x14ac:dyDescent="0.3">
      <c r="A546" s="401" t="s">
        <v>185</v>
      </c>
      <c r="B546" s="402"/>
      <c r="C546" s="402"/>
      <c r="D546" s="402"/>
      <c r="E546" s="402"/>
      <c r="F546" s="116">
        <f>+F538+F545</f>
        <v>21320.9552135421</v>
      </c>
    </row>
    <row r="547" spans="1:6" x14ac:dyDescent="0.2">
      <c r="A547" s="41" t="s">
        <v>153</v>
      </c>
      <c r="B547" s="117" t="s">
        <v>93</v>
      </c>
      <c r="C547" s="43"/>
      <c r="D547" s="44"/>
      <c r="E547" s="45"/>
      <c r="F547" s="46"/>
    </row>
    <row r="548" spans="1:6" x14ac:dyDescent="0.2">
      <c r="A548" s="48" t="s">
        <v>154</v>
      </c>
      <c r="B548" s="403" t="s">
        <v>187</v>
      </c>
      <c r="C548" s="404"/>
      <c r="D548" s="404"/>
      <c r="E548" s="404"/>
      <c r="F548" s="405"/>
    </row>
    <row r="549" spans="1:6" ht="15" thickBot="1" x14ac:dyDescent="0.25">
      <c r="A549" s="50" t="s">
        <v>156</v>
      </c>
      <c r="B549" s="51" t="s">
        <v>33</v>
      </c>
      <c r="C549" s="52"/>
      <c r="D549" s="53"/>
      <c r="E549" s="52"/>
      <c r="F549" s="54"/>
    </row>
    <row r="550" spans="1:6" x14ac:dyDescent="0.2">
      <c r="A550" s="55" t="s">
        <v>157</v>
      </c>
      <c r="B550" s="56"/>
      <c r="C550" s="57"/>
      <c r="D550" s="58"/>
      <c r="E550" s="59"/>
      <c r="F550" s="60"/>
    </row>
    <row r="551" spans="1:6" x14ac:dyDescent="0.2">
      <c r="A551" s="61" t="s">
        <v>158</v>
      </c>
      <c r="B551" s="62" t="s">
        <v>159</v>
      </c>
      <c r="C551" s="406" t="s">
        <v>160</v>
      </c>
      <c r="D551" s="407"/>
      <c r="E551" s="63" t="s">
        <v>161</v>
      </c>
      <c r="F551" s="64" t="s">
        <v>162</v>
      </c>
    </row>
    <row r="552" spans="1:6" x14ac:dyDescent="0.2">
      <c r="A552" s="65" t="s">
        <v>188</v>
      </c>
      <c r="B552" s="66" t="s">
        <v>189</v>
      </c>
      <c r="C552" s="67">
        <f>+Lista_prec_base!C35</f>
        <v>8496</v>
      </c>
      <c r="D552" s="68"/>
      <c r="E552" s="69">
        <v>4</v>
      </c>
      <c r="F552" s="70">
        <f>+C552/E552</f>
        <v>2124</v>
      </c>
    </row>
    <row r="553" spans="1:6" x14ac:dyDescent="0.2">
      <c r="A553" s="65"/>
      <c r="B553" s="66"/>
      <c r="C553" s="67"/>
      <c r="D553" s="68"/>
      <c r="E553" s="69"/>
      <c r="F553" s="70"/>
    </row>
    <row r="554" spans="1:6" x14ac:dyDescent="0.2">
      <c r="A554" s="65"/>
      <c r="B554" s="66"/>
      <c r="C554" s="67">
        <v>0</v>
      </c>
      <c r="D554" s="68"/>
      <c r="E554" s="71"/>
      <c r="F554" s="70">
        <v>0</v>
      </c>
    </row>
    <row r="555" spans="1:6" x14ac:dyDescent="0.2">
      <c r="A555" s="65"/>
      <c r="B555" s="66"/>
      <c r="C555" s="67">
        <v>0</v>
      </c>
      <c r="D555" s="68"/>
      <c r="E555" s="71"/>
      <c r="F555" s="70">
        <v>0</v>
      </c>
    </row>
    <row r="556" spans="1:6" ht="15" x14ac:dyDescent="0.25">
      <c r="A556" s="72"/>
      <c r="B556" s="73"/>
      <c r="C556" s="408" t="s">
        <v>163</v>
      </c>
      <c r="D556" s="408"/>
      <c r="E556" s="409"/>
      <c r="F556" s="74">
        <f>SUM(F552:F555)</f>
        <v>2124</v>
      </c>
    </row>
    <row r="557" spans="1:6" x14ac:dyDescent="0.2">
      <c r="A557" s="75" t="s">
        <v>164</v>
      </c>
      <c r="B557" s="76"/>
      <c r="C557" s="76"/>
      <c r="D557" s="77"/>
      <c r="E557" s="78"/>
      <c r="F557" s="79"/>
    </row>
    <row r="558" spans="1:6" x14ac:dyDescent="0.2">
      <c r="A558" s="61" t="s">
        <v>158</v>
      </c>
      <c r="B558" s="62" t="s">
        <v>159</v>
      </c>
      <c r="C558" s="406" t="s">
        <v>7</v>
      </c>
      <c r="D558" s="407"/>
      <c r="E558" s="63" t="s">
        <v>165</v>
      </c>
      <c r="F558" s="64" t="s">
        <v>162</v>
      </c>
    </row>
    <row r="559" spans="1:6" x14ac:dyDescent="0.2">
      <c r="A559" s="118">
        <v>0</v>
      </c>
      <c r="B559" s="66">
        <v>0</v>
      </c>
      <c r="C559" s="86"/>
      <c r="D559" s="82"/>
      <c r="E559" s="83">
        <v>0</v>
      </c>
      <c r="F559" s="84">
        <v>0</v>
      </c>
    </row>
    <row r="560" spans="1:6" x14ac:dyDescent="0.2">
      <c r="A560" s="85">
        <v>0</v>
      </c>
      <c r="B560" s="66">
        <v>0</v>
      </c>
      <c r="C560" s="86"/>
      <c r="D560" s="82"/>
      <c r="E560" s="83">
        <v>0</v>
      </c>
      <c r="F560" s="84">
        <v>0</v>
      </c>
    </row>
    <row r="561" spans="1:8" x14ac:dyDescent="0.2">
      <c r="A561" s="65">
        <v>0</v>
      </c>
      <c r="B561" s="66">
        <v>0</v>
      </c>
      <c r="C561" s="87"/>
      <c r="D561" s="82"/>
      <c r="E561" s="83">
        <v>0</v>
      </c>
      <c r="F561" s="84">
        <v>0</v>
      </c>
    </row>
    <row r="562" spans="1:8" x14ac:dyDescent="0.2">
      <c r="A562" s="65">
        <v>0</v>
      </c>
      <c r="B562" s="66">
        <v>0</v>
      </c>
      <c r="C562" s="87"/>
      <c r="D562" s="82"/>
      <c r="E562" s="83">
        <v>0</v>
      </c>
      <c r="F562" s="84">
        <v>0</v>
      </c>
    </row>
    <row r="563" spans="1:8" x14ac:dyDescent="0.2">
      <c r="A563" s="65">
        <v>0</v>
      </c>
      <c r="B563" s="66">
        <v>0</v>
      </c>
      <c r="C563" s="87"/>
      <c r="D563" s="82"/>
      <c r="E563" s="83">
        <v>0</v>
      </c>
      <c r="F563" s="84">
        <v>0</v>
      </c>
    </row>
    <row r="564" spans="1:8" ht="15" x14ac:dyDescent="0.25">
      <c r="A564" s="72"/>
      <c r="B564" s="73"/>
      <c r="C564" s="408" t="s">
        <v>167</v>
      </c>
      <c r="D564" s="408"/>
      <c r="E564" s="409"/>
      <c r="F564" s="74">
        <v>0</v>
      </c>
    </row>
    <row r="565" spans="1:8" x14ac:dyDescent="0.2">
      <c r="A565" s="72" t="s">
        <v>168</v>
      </c>
      <c r="B565" s="73"/>
      <c r="C565" s="73"/>
      <c r="D565" s="88"/>
      <c r="E565" s="89"/>
      <c r="F565" s="90"/>
    </row>
    <row r="566" spans="1:8" x14ac:dyDescent="0.2">
      <c r="A566" s="61" t="s">
        <v>158</v>
      </c>
      <c r="B566" s="62" t="s">
        <v>159</v>
      </c>
      <c r="C566" s="62" t="s">
        <v>169</v>
      </c>
      <c r="D566" s="91" t="s">
        <v>170</v>
      </c>
      <c r="E566" s="63" t="s">
        <v>161</v>
      </c>
      <c r="F566" s="64" t="s">
        <v>171</v>
      </c>
    </row>
    <row r="567" spans="1:8" x14ac:dyDescent="0.2">
      <c r="A567" s="65" t="s">
        <v>190</v>
      </c>
      <c r="B567" s="92" t="s">
        <v>191</v>
      </c>
      <c r="C567" s="93">
        <v>1.65</v>
      </c>
      <c r="D567" s="94">
        <f>+Lista_prec_base!C43</f>
        <v>67000</v>
      </c>
      <c r="E567" s="95">
        <v>6.070460394677438</v>
      </c>
      <c r="F567" s="70">
        <f>+C567*D567/E567</f>
        <v>18211.139322633571</v>
      </c>
    </row>
    <row r="568" spans="1:8" x14ac:dyDescent="0.2">
      <c r="A568" s="65">
        <v>0</v>
      </c>
      <c r="B568" s="92">
        <v>0</v>
      </c>
      <c r="C568" s="93"/>
      <c r="D568" s="94">
        <v>0</v>
      </c>
      <c r="E568" s="96"/>
      <c r="F568" s="97">
        <v>0</v>
      </c>
    </row>
    <row r="569" spans="1:8" x14ac:dyDescent="0.2">
      <c r="A569" s="65">
        <v>0</v>
      </c>
      <c r="B569" s="92">
        <v>0</v>
      </c>
      <c r="C569" s="93"/>
      <c r="D569" s="94">
        <v>0</v>
      </c>
      <c r="E569" s="96"/>
      <c r="F569" s="97">
        <v>0</v>
      </c>
    </row>
    <row r="570" spans="1:8" ht="15" x14ac:dyDescent="0.25">
      <c r="A570" s="72"/>
      <c r="B570" s="73"/>
      <c r="C570" s="408" t="s">
        <v>172</v>
      </c>
      <c r="D570" s="408"/>
      <c r="E570" s="409"/>
      <c r="F570" s="74">
        <f>+F567</f>
        <v>18211.139322633571</v>
      </c>
      <c r="H570" s="199">
        <f>+F570/F577</f>
        <v>0.895550260743189</v>
      </c>
    </row>
    <row r="571" spans="1:8" x14ac:dyDescent="0.2">
      <c r="A571" s="75" t="s">
        <v>173</v>
      </c>
      <c r="B571" s="76"/>
      <c r="C571" s="76"/>
      <c r="D571" s="77"/>
      <c r="E571" s="78"/>
      <c r="F571" s="79"/>
    </row>
    <row r="572" spans="1:8" x14ac:dyDescent="0.2">
      <c r="A572" s="61" t="s">
        <v>158</v>
      </c>
      <c r="B572" s="62" t="s">
        <v>159</v>
      </c>
      <c r="C572" s="62" t="s">
        <v>174</v>
      </c>
      <c r="D572" s="98" t="s">
        <v>175</v>
      </c>
      <c r="E572" s="63" t="s">
        <v>165</v>
      </c>
      <c r="F572" s="64" t="s">
        <v>162</v>
      </c>
    </row>
    <row r="573" spans="1:8" x14ac:dyDescent="0.2">
      <c r="A573" s="65">
        <v>0</v>
      </c>
      <c r="B573" s="66">
        <v>0</v>
      </c>
      <c r="C573" s="99"/>
      <c r="D573" s="81"/>
      <c r="E573" s="83">
        <v>0</v>
      </c>
      <c r="F573" s="84">
        <v>0</v>
      </c>
    </row>
    <row r="574" spans="1:8" x14ac:dyDescent="0.2">
      <c r="A574" s="65">
        <v>0</v>
      </c>
      <c r="B574" s="66">
        <v>0</v>
      </c>
      <c r="C574" s="99"/>
      <c r="D574" s="81"/>
      <c r="E574" s="83">
        <v>0</v>
      </c>
      <c r="F574" s="84">
        <v>0</v>
      </c>
    </row>
    <row r="575" spans="1:8" ht="15" x14ac:dyDescent="0.25">
      <c r="A575" s="72"/>
      <c r="B575" s="73"/>
      <c r="C575" s="408" t="s">
        <v>176</v>
      </c>
      <c r="D575" s="408"/>
      <c r="E575" s="409"/>
      <c r="F575" s="74">
        <v>0</v>
      </c>
    </row>
    <row r="576" spans="1:8" ht="15" thickBot="1" x14ac:dyDescent="0.25">
      <c r="A576" s="75"/>
      <c r="B576" s="76"/>
      <c r="C576" s="76"/>
      <c r="D576" s="77"/>
      <c r="E576" s="78"/>
      <c r="F576" s="79"/>
    </row>
    <row r="577" spans="1:6" ht="15.75" thickBot="1" x14ac:dyDescent="0.3">
      <c r="A577" s="100" t="s">
        <v>177</v>
      </c>
      <c r="B577" s="101"/>
      <c r="C577" s="101"/>
      <c r="D577" s="101"/>
      <c r="E577" s="102"/>
      <c r="F577" s="103">
        <f>+F570+F556</f>
        <v>20335.139322633571</v>
      </c>
    </row>
    <row r="578" spans="1:6" ht="15" x14ac:dyDescent="0.25">
      <c r="A578" s="104" t="s">
        <v>178</v>
      </c>
      <c r="B578" s="105"/>
      <c r="C578" s="105"/>
      <c r="D578" s="105"/>
      <c r="E578" s="105"/>
      <c r="F578" s="106" t="s">
        <v>179</v>
      </c>
    </row>
    <row r="579" spans="1:6" x14ac:dyDescent="0.2">
      <c r="A579" s="399" t="s">
        <v>158</v>
      </c>
      <c r="B579" s="400"/>
      <c r="C579" s="400"/>
      <c r="D579" s="400"/>
      <c r="E579" s="107" t="s">
        <v>144</v>
      </c>
      <c r="F579" s="108"/>
    </row>
    <row r="580" spans="1:6" x14ac:dyDescent="0.2">
      <c r="A580" s="399" t="s">
        <v>180</v>
      </c>
      <c r="B580" s="400"/>
      <c r="C580" s="400"/>
      <c r="D580" s="400"/>
      <c r="E580" s="109">
        <v>0.23</v>
      </c>
      <c r="F580" s="108">
        <f>+E580*F577</f>
        <v>4677.082044205722</v>
      </c>
    </row>
    <row r="581" spans="1:6" x14ac:dyDescent="0.2">
      <c r="A581" s="399" t="s">
        <v>181</v>
      </c>
      <c r="B581" s="400"/>
      <c r="C581" s="400"/>
      <c r="D581" s="400"/>
      <c r="E581" s="109">
        <v>0.02</v>
      </c>
      <c r="F581" s="108">
        <f>+E581*F577</f>
        <v>406.70278645267143</v>
      </c>
    </row>
    <row r="582" spans="1:6" x14ac:dyDescent="0.2">
      <c r="A582" s="399" t="s">
        <v>182</v>
      </c>
      <c r="B582" s="400"/>
      <c r="C582" s="400"/>
      <c r="D582" s="400"/>
      <c r="E582" s="109">
        <v>0.05</v>
      </c>
      <c r="F582" s="108">
        <f>+E582*F577</f>
        <v>1016.7569661316786</v>
      </c>
    </row>
    <row r="583" spans="1:6" x14ac:dyDescent="0.2">
      <c r="A583" s="110" t="s">
        <v>183</v>
      </c>
      <c r="B583" s="111"/>
      <c r="C583" s="111"/>
      <c r="D583" s="111"/>
      <c r="E583" s="109"/>
      <c r="F583" s="108">
        <v>0</v>
      </c>
    </row>
    <row r="584" spans="1:6" ht="15" x14ac:dyDescent="0.2">
      <c r="A584" s="112"/>
      <c r="B584" s="113"/>
      <c r="C584" s="113"/>
      <c r="D584" s="113"/>
      <c r="E584" s="114" t="s">
        <v>184</v>
      </c>
      <c r="F584" s="115">
        <f>+F580+F581+F582</f>
        <v>6100.5417967900721</v>
      </c>
    </row>
    <row r="585" spans="1:6" ht="15.75" thickBot="1" x14ac:dyDescent="0.3">
      <c r="A585" s="401" t="s">
        <v>185</v>
      </c>
      <c r="B585" s="402"/>
      <c r="C585" s="402"/>
      <c r="D585" s="402"/>
      <c r="E585" s="402"/>
      <c r="F585" s="116">
        <f>+F577+F584</f>
        <v>26435.681119423643</v>
      </c>
    </row>
    <row r="586" spans="1:6" x14ac:dyDescent="0.2">
      <c r="A586" s="41" t="s">
        <v>153</v>
      </c>
      <c r="B586" s="117" t="s">
        <v>149</v>
      </c>
      <c r="C586" s="43"/>
      <c r="D586" s="44"/>
      <c r="E586" s="45"/>
      <c r="F586" s="46"/>
    </row>
    <row r="587" spans="1:6" x14ac:dyDescent="0.2">
      <c r="A587" s="48" t="s">
        <v>154</v>
      </c>
      <c r="B587" s="403" t="s">
        <v>263</v>
      </c>
      <c r="C587" s="404"/>
      <c r="D587" s="404"/>
      <c r="E587" s="404"/>
      <c r="F587" s="405"/>
    </row>
    <row r="588" spans="1:6" ht="15" thickBot="1" x14ac:dyDescent="0.25">
      <c r="A588" s="50" t="s">
        <v>156</v>
      </c>
      <c r="B588" s="51" t="s">
        <v>33</v>
      </c>
      <c r="C588" s="52"/>
      <c r="D588" s="53"/>
      <c r="E588" s="52"/>
      <c r="F588" s="54"/>
    </row>
    <row r="589" spans="1:6" x14ac:dyDescent="0.2">
      <c r="A589" s="55" t="s">
        <v>157</v>
      </c>
      <c r="B589" s="56"/>
      <c r="C589" s="57"/>
      <c r="D589" s="58"/>
      <c r="E589" s="59"/>
      <c r="F589" s="60"/>
    </row>
    <row r="590" spans="1:6" x14ac:dyDescent="0.2">
      <c r="A590" s="61" t="s">
        <v>158</v>
      </c>
      <c r="B590" s="62" t="s">
        <v>159</v>
      </c>
      <c r="C590" s="406" t="s">
        <v>160</v>
      </c>
      <c r="D590" s="407"/>
      <c r="E590" s="63" t="s">
        <v>161</v>
      </c>
      <c r="F590" s="64" t="s">
        <v>162</v>
      </c>
    </row>
    <row r="591" spans="1:6" x14ac:dyDescent="0.2">
      <c r="A591" s="65" t="s">
        <v>188</v>
      </c>
      <c r="B591" s="66" t="s">
        <v>189</v>
      </c>
      <c r="C591" s="67">
        <f>+Lista_prec_base!C35</f>
        <v>8496</v>
      </c>
      <c r="D591" s="68"/>
      <c r="E591" s="69">
        <v>4</v>
      </c>
      <c r="F591" s="70">
        <f>+C591/E591</f>
        <v>2124</v>
      </c>
    </row>
    <row r="592" spans="1:6" x14ac:dyDescent="0.2">
      <c r="A592" s="65"/>
      <c r="B592" s="66"/>
      <c r="C592" s="67"/>
      <c r="D592" s="68"/>
      <c r="E592" s="69"/>
      <c r="F592" s="70"/>
    </row>
    <row r="593" spans="1:6" x14ac:dyDescent="0.2">
      <c r="A593" s="65"/>
      <c r="B593" s="66"/>
      <c r="C593" s="67">
        <v>0</v>
      </c>
      <c r="D593" s="68"/>
      <c r="E593" s="71"/>
      <c r="F593" s="70">
        <v>0</v>
      </c>
    </row>
    <row r="594" spans="1:6" x14ac:dyDescent="0.2">
      <c r="A594" s="65"/>
      <c r="B594" s="66"/>
      <c r="C594" s="67">
        <v>0</v>
      </c>
      <c r="D594" s="68"/>
      <c r="E594" s="71"/>
      <c r="F594" s="70">
        <v>0</v>
      </c>
    </row>
    <row r="595" spans="1:6" ht="15" x14ac:dyDescent="0.25">
      <c r="A595" s="72"/>
      <c r="B595" s="73"/>
      <c r="C595" s="408" t="s">
        <v>163</v>
      </c>
      <c r="D595" s="408"/>
      <c r="E595" s="409"/>
      <c r="F595" s="74">
        <f>SUM(F591:F594)</f>
        <v>2124</v>
      </c>
    </row>
    <row r="596" spans="1:6" x14ac:dyDescent="0.2">
      <c r="A596" s="75" t="s">
        <v>164</v>
      </c>
      <c r="B596" s="76"/>
      <c r="C596" s="76"/>
      <c r="D596" s="77"/>
      <c r="E596" s="78"/>
      <c r="F596" s="79"/>
    </row>
    <row r="597" spans="1:6" x14ac:dyDescent="0.2">
      <c r="A597" s="61" t="s">
        <v>158</v>
      </c>
      <c r="B597" s="62" t="s">
        <v>159</v>
      </c>
      <c r="C597" s="406" t="s">
        <v>7</v>
      </c>
      <c r="D597" s="407"/>
      <c r="E597" s="63" t="s">
        <v>165</v>
      </c>
      <c r="F597" s="64" t="s">
        <v>162</v>
      </c>
    </row>
    <row r="598" spans="1:6" x14ac:dyDescent="0.2">
      <c r="A598" s="118">
        <v>0</v>
      </c>
      <c r="B598" s="66">
        <v>0</v>
      </c>
      <c r="C598" s="86"/>
      <c r="D598" s="82"/>
      <c r="E598" s="83">
        <v>0</v>
      </c>
      <c r="F598" s="84">
        <v>0</v>
      </c>
    </row>
    <row r="599" spans="1:6" x14ac:dyDescent="0.2">
      <c r="A599" s="85">
        <v>0</v>
      </c>
      <c r="B599" s="66">
        <v>0</v>
      </c>
      <c r="C599" s="86"/>
      <c r="D599" s="82"/>
      <c r="E599" s="83">
        <v>0</v>
      </c>
      <c r="F599" s="84">
        <v>0</v>
      </c>
    </row>
    <row r="600" spans="1:6" x14ac:dyDescent="0.2">
      <c r="A600" s="65">
        <v>0</v>
      </c>
      <c r="B600" s="66">
        <v>0</v>
      </c>
      <c r="C600" s="87"/>
      <c r="D600" s="82"/>
      <c r="E600" s="83">
        <v>0</v>
      </c>
      <c r="F600" s="84">
        <v>0</v>
      </c>
    </row>
    <row r="601" spans="1:6" x14ac:dyDescent="0.2">
      <c r="A601" s="65">
        <v>0</v>
      </c>
      <c r="B601" s="66">
        <v>0</v>
      </c>
      <c r="C601" s="87"/>
      <c r="D601" s="82"/>
      <c r="E601" s="83">
        <v>0</v>
      </c>
      <c r="F601" s="84">
        <v>0</v>
      </c>
    </row>
    <row r="602" spans="1:6" x14ac:dyDescent="0.2">
      <c r="A602" s="65">
        <v>0</v>
      </c>
      <c r="B602" s="66">
        <v>0</v>
      </c>
      <c r="C602" s="87"/>
      <c r="D602" s="82"/>
      <c r="E602" s="83">
        <v>0</v>
      </c>
      <c r="F602" s="84">
        <v>0</v>
      </c>
    </row>
    <row r="603" spans="1:6" ht="15" x14ac:dyDescent="0.25">
      <c r="A603" s="72"/>
      <c r="B603" s="73"/>
      <c r="C603" s="408" t="s">
        <v>167</v>
      </c>
      <c r="D603" s="408"/>
      <c r="E603" s="409"/>
      <c r="F603" s="74">
        <v>0</v>
      </c>
    </row>
    <row r="604" spans="1:6" x14ac:dyDescent="0.2">
      <c r="A604" s="72" t="s">
        <v>168</v>
      </c>
      <c r="B604" s="73"/>
      <c r="C604" s="73"/>
      <c r="D604" s="88"/>
      <c r="E604" s="89"/>
      <c r="F604" s="90"/>
    </row>
    <row r="605" spans="1:6" x14ac:dyDescent="0.2">
      <c r="A605" s="61" t="s">
        <v>158</v>
      </c>
      <c r="B605" s="62" t="s">
        <v>159</v>
      </c>
      <c r="C605" s="62" t="s">
        <v>169</v>
      </c>
      <c r="D605" s="91" t="s">
        <v>170</v>
      </c>
      <c r="E605" s="63" t="s">
        <v>161</v>
      </c>
      <c r="F605" s="64" t="s">
        <v>171</v>
      </c>
    </row>
    <row r="606" spans="1:6" x14ac:dyDescent="0.2">
      <c r="A606" s="65" t="s">
        <v>190</v>
      </c>
      <c r="B606" s="92" t="s">
        <v>191</v>
      </c>
      <c r="C606" s="93">
        <v>1.65</v>
      </c>
      <c r="D606" s="94">
        <f>+Lista_prec_base!C43</f>
        <v>67000</v>
      </c>
      <c r="E606" s="95">
        <v>5.1981006879173819</v>
      </c>
      <c r="F606" s="70">
        <f>+C606*D606/E606</f>
        <v>21267.383345798913</v>
      </c>
    </row>
    <row r="607" spans="1:6" x14ac:dyDescent="0.2">
      <c r="A607" s="65">
        <v>0</v>
      </c>
      <c r="B607" s="92">
        <v>0</v>
      </c>
      <c r="C607" s="93"/>
      <c r="D607" s="94">
        <v>0</v>
      </c>
      <c r="E607" s="96"/>
      <c r="F607" s="97">
        <v>0</v>
      </c>
    </row>
    <row r="608" spans="1:6" x14ac:dyDescent="0.2">
      <c r="A608" s="65">
        <v>0</v>
      </c>
      <c r="B608" s="92">
        <v>0</v>
      </c>
      <c r="C608" s="93"/>
      <c r="D608" s="94">
        <v>0</v>
      </c>
      <c r="E608" s="96"/>
      <c r="F608" s="97">
        <v>0</v>
      </c>
    </row>
    <row r="609" spans="1:6" ht="15" x14ac:dyDescent="0.25">
      <c r="A609" s="72"/>
      <c r="B609" s="73"/>
      <c r="C609" s="408" t="s">
        <v>172</v>
      </c>
      <c r="D609" s="408"/>
      <c r="E609" s="409"/>
      <c r="F609" s="74">
        <f>+F606</f>
        <v>21267.383345798913</v>
      </c>
    </row>
    <row r="610" spans="1:6" x14ac:dyDescent="0.2">
      <c r="A610" s="75" t="s">
        <v>173</v>
      </c>
      <c r="B610" s="76"/>
      <c r="C610" s="76"/>
      <c r="D610" s="77"/>
      <c r="E610" s="78"/>
      <c r="F610" s="79"/>
    </row>
    <row r="611" spans="1:6" x14ac:dyDescent="0.2">
      <c r="A611" s="61" t="s">
        <v>158</v>
      </c>
      <c r="B611" s="62" t="s">
        <v>159</v>
      </c>
      <c r="C611" s="62" t="s">
        <v>174</v>
      </c>
      <c r="D611" s="98" t="s">
        <v>175</v>
      </c>
      <c r="E611" s="63" t="s">
        <v>165</v>
      </c>
      <c r="F611" s="64" t="s">
        <v>162</v>
      </c>
    </row>
    <row r="612" spans="1:6" x14ac:dyDescent="0.2">
      <c r="A612" s="65">
        <v>0</v>
      </c>
      <c r="B612" s="66">
        <v>0</v>
      </c>
      <c r="C612" s="99"/>
      <c r="D612" s="81"/>
      <c r="E612" s="83">
        <v>0</v>
      </c>
      <c r="F612" s="84">
        <v>0</v>
      </c>
    </row>
    <row r="613" spans="1:6" x14ac:dyDescent="0.2">
      <c r="A613" s="65">
        <v>0</v>
      </c>
      <c r="B613" s="66">
        <v>0</v>
      </c>
      <c r="C613" s="99"/>
      <c r="D613" s="81"/>
      <c r="E613" s="83">
        <v>0</v>
      </c>
      <c r="F613" s="84">
        <v>0</v>
      </c>
    </row>
    <row r="614" spans="1:6" ht="15" x14ac:dyDescent="0.25">
      <c r="A614" s="72"/>
      <c r="B614" s="73"/>
      <c r="C614" s="408" t="s">
        <v>176</v>
      </c>
      <c r="D614" s="408"/>
      <c r="E614" s="409"/>
      <c r="F614" s="74">
        <v>0</v>
      </c>
    </row>
    <row r="615" spans="1:6" ht="15" thickBot="1" x14ac:dyDescent="0.25">
      <c r="A615" s="75"/>
      <c r="B615" s="76"/>
      <c r="C615" s="76"/>
      <c r="D615" s="77"/>
      <c r="E615" s="78"/>
      <c r="F615" s="79"/>
    </row>
    <row r="616" spans="1:6" ht="15.75" thickBot="1" x14ac:dyDescent="0.3">
      <c r="A616" s="100" t="s">
        <v>177</v>
      </c>
      <c r="B616" s="101"/>
      <c r="C616" s="101"/>
      <c r="D616" s="101"/>
      <c r="E616" s="102"/>
      <c r="F616" s="103">
        <f>+F609+F595</f>
        <v>23391.383345798913</v>
      </c>
    </row>
    <row r="617" spans="1:6" ht="15" x14ac:dyDescent="0.25">
      <c r="A617" s="104" t="s">
        <v>178</v>
      </c>
      <c r="B617" s="105"/>
      <c r="C617" s="105"/>
      <c r="D617" s="105"/>
      <c r="E617" s="105"/>
      <c r="F617" s="106" t="s">
        <v>179</v>
      </c>
    </row>
    <row r="618" spans="1:6" x14ac:dyDescent="0.2">
      <c r="A618" s="399" t="s">
        <v>158</v>
      </c>
      <c r="B618" s="400"/>
      <c r="C618" s="400"/>
      <c r="D618" s="400"/>
      <c r="E618" s="107" t="s">
        <v>144</v>
      </c>
      <c r="F618" s="108"/>
    </row>
    <row r="619" spans="1:6" x14ac:dyDescent="0.2">
      <c r="A619" s="399" t="s">
        <v>180</v>
      </c>
      <c r="B619" s="400"/>
      <c r="C619" s="400"/>
      <c r="D619" s="400"/>
      <c r="E619" s="109">
        <v>0.23</v>
      </c>
      <c r="F619" s="108">
        <f>+E619*F616</f>
        <v>5380.0181695337506</v>
      </c>
    </row>
    <row r="620" spans="1:6" x14ac:dyDescent="0.2">
      <c r="A620" s="399" t="s">
        <v>181</v>
      </c>
      <c r="B620" s="400"/>
      <c r="C620" s="400"/>
      <c r="D620" s="400"/>
      <c r="E620" s="109">
        <v>0.02</v>
      </c>
      <c r="F620" s="108">
        <f>+E620*F616</f>
        <v>467.82766691597828</v>
      </c>
    </row>
    <row r="621" spans="1:6" x14ac:dyDescent="0.2">
      <c r="A621" s="399" t="s">
        <v>182</v>
      </c>
      <c r="B621" s="400"/>
      <c r="C621" s="400"/>
      <c r="D621" s="400"/>
      <c r="E621" s="109">
        <v>0.05</v>
      </c>
      <c r="F621" s="108">
        <f>+E621*F616</f>
        <v>1169.5691672899457</v>
      </c>
    </row>
    <row r="622" spans="1:6" x14ac:dyDescent="0.2">
      <c r="A622" s="110" t="s">
        <v>183</v>
      </c>
      <c r="B622" s="111"/>
      <c r="C622" s="111"/>
      <c r="D622" s="111"/>
      <c r="E622" s="109"/>
      <c r="F622" s="108">
        <v>0</v>
      </c>
    </row>
    <row r="623" spans="1:6" ht="15" x14ac:dyDescent="0.2">
      <c r="A623" s="112"/>
      <c r="B623" s="113"/>
      <c r="C623" s="113"/>
      <c r="D623" s="113"/>
      <c r="E623" s="114" t="s">
        <v>184</v>
      </c>
      <c r="F623" s="115">
        <f>+F619+F620+F621</f>
        <v>7017.4150037396748</v>
      </c>
    </row>
    <row r="624" spans="1:6" ht="15.75" thickBot="1" x14ac:dyDescent="0.3">
      <c r="A624" s="401" t="s">
        <v>185</v>
      </c>
      <c r="B624" s="402"/>
      <c r="C624" s="402"/>
      <c r="D624" s="402"/>
      <c r="E624" s="402"/>
      <c r="F624" s="116">
        <f>+F616+F623</f>
        <v>30408.798349538589</v>
      </c>
    </row>
    <row r="625" spans="1:6" x14ac:dyDescent="0.2">
      <c r="A625" s="41" t="s">
        <v>153</v>
      </c>
      <c r="B625" s="117" t="s">
        <v>94</v>
      </c>
      <c r="C625" s="43"/>
      <c r="D625" s="44"/>
      <c r="E625" s="45"/>
      <c r="F625" s="46"/>
    </row>
    <row r="626" spans="1:6" x14ac:dyDescent="0.2">
      <c r="A626" s="48" t="s">
        <v>154</v>
      </c>
      <c r="B626" s="403" t="s">
        <v>264</v>
      </c>
      <c r="C626" s="404"/>
      <c r="D626" s="404"/>
      <c r="E626" s="404"/>
      <c r="F626" s="405"/>
    </row>
    <row r="627" spans="1:6" ht="15" thickBot="1" x14ac:dyDescent="0.25">
      <c r="A627" s="50" t="s">
        <v>156</v>
      </c>
      <c r="B627" s="51" t="s">
        <v>33</v>
      </c>
      <c r="C627" s="52"/>
      <c r="D627" s="53"/>
      <c r="E627" s="52"/>
      <c r="F627" s="54"/>
    </row>
    <row r="628" spans="1:6" x14ac:dyDescent="0.2">
      <c r="A628" s="55" t="s">
        <v>157</v>
      </c>
      <c r="B628" s="56"/>
      <c r="C628" s="57"/>
      <c r="D628" s="58"/>
      <c r="E628" s="59"/>
      <c r="F628" s="60"/>
    </row>
    <row r="629" spans="1:6" x14ac:dyDescent="0.2">
      <c r="A629" s="61" t="s">
        <v>158</v>
      </c>
      <c r="B629" s="62" t="s">
        <v>159</v>
      </c>
      <c r="C629" s="406" t="s">
        <v>160</v>
      </c>
      <c r="D629" s="407"/>
      <c r="E629" s="63" t="s">
        <v>161</v>
      </c>
      <c r="F629" s="64" t="s">
        <v>162</v>
      </c>
    </row>
    <row r="630" spans="1:6" x14ac:dyDescent="0.2">
      <c r="A630" s="65" t="s">
        <v>188</v>
      </c>
      <c r="B630" s="66" t="s">
        <v>189</v>
      </c>
      <c r="C630" s="67">
        <f>+Lista_prec_base!C35</f>
        <v>8496</v>
      </c>
      <c r="D630" s="68"/>
      <c r="E630" s="69">
        <v>4</v>
      </c>
      <c r="F630" s="70">
        <f>+C630/E630</f>
        <v>2124</v>
      </c>
    </row>
    <row r="631" spans="1:6" x14ac:dyDescent="0.2">
      <c r="A631" s="65"/>
      <c r="B631" s="66"/>
      <c r="C631" s="67"/>
      <c r="D631" s="68"/>
      <c r="E631" s="69"/>
      <c r="F631" s="70"/>
    </row>
    <row r="632" spans="1:6" x14ac:dyDescent="0.2">
      <c r="A632" s="65"/>
      <c r="B632" s="66"/>
      <c r="C632" s="67">
        <v>0</v>
      </c>
      <c r="D632" s="68"/>
      <c r="E632" s="71"/>
      <c r="F632" s="70">
        <v>0</v>
      </c>
    </row>
    <row r="633" spans="1:6" x14ac:dyDescent="0.2">
      <c r="A633" s="65"/>
      <c r="B633" s="66"/>
      <c r="C633" s="67">
        <v>0</v>
      </c>
      <c r="D633" s="68"/>
      <c r="E633" s="71"/>
      <c r="F633" s="70">
        <v>0</v>
      </c>
    </row>
    <row r="634" spans="1:6" ht="15" x14ac:dyDescent="0.25">
      <c r="A634" s="72"/>
      <c r="B634" s="73"/>
      <c r="C634" s="408" t="s">
        <v>163</v>
      </c>
      <c r="D634" s="408"/>
      <c r="E634" s="409"/>
      <c r="F634" s="74">
        <f>SUM(F630:F633)</f>
        <v>2124</v>
      </c>
    </row>
    <row r="635" spans="1:6" x14ac:dyDescent="0.2">
      <c r="A635" s="75" t="s">
        <v>164</v>
      </c>
      <c r="B635" s="76"/>
      <c r="C635" s="76"/>
      <c r="D635" s="77"/>
      <c r="E635" s="78"/>
      <c r="F635" s="79"/>
    </row>
    <row r="636" spans="1:6" x14ac:dyDescent="0.2">
      <c r="A636" s="61" t="s">
        <v>158</v>
      </c>
      <c r="B636" s="62" t="s">
        <v>159</v>
      </c>
      <c r="C636" s="406" t="s">
        <v>7</v>
      </c>
      <c r="D636" s="407"/>
      <c r="E636" s="63" t="s">
        <v>165</v>
      </c>
      <c r="F636" s="64" t="s">
        <v>162</v>
      </c>
    </row>
    <row r="637" spans="1:6" x14ac:dyDescent="0.2">
      <c r="A637" s="118">
        <v>0</v>
      </c>
      <c r="B637" s="66">
        <v>0</v>
      </c>
      <c r="C637" s="86"/>
      <c r="D637" s="82"/>
      <c r="E637" s="83">
        <v>0</v>
      </c>
      <c r="F637" s="84">
        <v>0</v>
      </c>
    </row>
    <row r="638" spans="1:6" x14ac:dyDescent="0.2">
      <c r="A638" s="85">
        <v>0</v>
      </c>
      <c r="B638" s="66">
        <v>0</v>
      </c>
      <c r="C638" s="86"/>
      <c r="D638" s="82"/>
      <c r="E638" s="83">
        <v>0</v>
      </c>
      <c r="F638" s="84">
        <v>0</v>
      </c>
    </row>
    <row r="639" spans="1:6" x14ac:dyDescent="0.2">
      <c r="A639" s="65">
        <v>0</v>
      </c>
      <c r="B639" s="66">
        <v>0</v>
      </c>
      <c r="C639" s="87"/>
      <c r="D639" s="82"/>
      <c r="E639" s="83">
        <v>0</v>
      </c>
      <c r="F639" s="84">
        <v>0</v>
      </c>
    </row>
    <row r="640" spans="1:6" x14ac:dyDescent="0.2">
      <c r="A640" s="65">
        <v>0</v>
      </c>
      <c r="B640" s="66">
        <v>0</v>
      </c>
      <c r="C640" s="87"/>
      <c r="D640" s="82"/>
      <c r="E640" s="83">
        <v>0</v>
      </c>
      <c r="F640" s="84">
        <v>0</v>
      </c>
    </row>
    <row r="641" spans="1:6" x14ac:dyDescent="0.2">
      <c r="A641" s="65">
        <v>0</v>
      </c>
      <c r="B641" s="66">
        <v>0</v>
      </c>
      <c r="C641" s="87"/>
      <c r="D641" s="82"/>
      <c r="E641" s="83">
        <v>0</v>
      </c>
      <c r="F641" s="84">
        <v>0</v>
      </c>
    </row>
    <row r="642" spans="1:6" ht="15" x14ac:dyDescent="0.25">
      <c r="A642" s="72"/>
      <c r="B642" s="73"/>
      <c r="C642" s="408" t="s">
        <v>167</v>
      </c>
      <c r="D642" s="408"/>
      <c r="E642" s="409"/>
      <c r="F642" s="74">
        <v>0</v>
      </c>
    </row>
    <row r="643" spans="1:6" x14ac:dyDescent="0.2">
      <c r="A643" s="72" t="s">
        <v>168</v>
      </c>
      <c r="B643" s="73"/>
      <c r="C643" s="73"/>
      <c r="D643" s="88"/>
      <c r="E643" s="89"/>
      <c r="F643" s="90"/>
    </row>
    <row r="644" spans="1:6" x14ac:dyDescent="0.2">
      <c r="A644" s="61" t="s">
        <v>158</v>
      </c>
      <c r="B644" s="62" t="s">
        <v>159</v>
      </c>
      <c r="C644" s="62" t="s">
        <v>169</v>
      </c>
      <c r="D644" s="91" t="s">
        <v>170</v>
      </c>
      <c r="E644" s="63" t="s">
        <v>161</v>
      </c>
      <c r="F644" s="64" t="s">
        <v>171</v>
      </c>
    </row>
    <row r="645" spans="1:6" x14ac:dyDescent="0.2">
      <c r="A645" s="65" t="s">
        <v>190</v>
      </c>
      <c r="B645" s="92" t="s">
        <v>191</v>
      </c>
      <c r="C645" s="93">
        <v>1.65</v>
      </c>
      <c r="D645" s="94">
        <f>+Lista_prec_base!C43</f>
        <v>67000</v>
      </c>
      <c r="E645" s="95">
        <v>3.8927948749729309</v>
      </c>
      <c r="F645" s="70">
        <f>+C645*D645/E645</f>
        <v>28398.619385453421</v>
      </c>
    </row>
    <row r="646" spans="1:6" x14ac:dyDescent="0.2">
      <c r="A646" s="65">
        <v>0</v>
      </c>
      <c r="B646" s="92">
        <v>0</v>
      </c>
      <c r="C646" s="93"/>
      <c r="D646" s="94">
        <v>0</v>
      </c>
      <c r="E646" s="96"/>
      <c r="F646" s="97">
        <v>0</v>
      </c>
    </row>
    <row r="647" spans="1:6" x14ac:dyDescent="0.2">
      <c r="A647" s="65">
        <v>0</v>
      </c>
      <c r="B647" s="92">
        <v>0</v>
      </c>
      <c r="C647" s="93"/>
      <c r="D647" s="94">
        <v>0</v>
      </c>
      <c r="E647" s="96"/>
      <c r="F647" s="97">
        <v>0</v>
      </c>
    </row>
    <row r="648" spans="1:6" ht="15" x14ac:dyDescent="0.25">
      <c r="A648" s="72"/>
      <c r="B648" s="73"/>
      <c r="C648" s="408" t="s">
        <v>172</v>
      </c>
      <c r="D648" s="408"/>
      <c r="E648" s="409"/>
      <c r="F648" s="74">
        <f>+F645</f>
        <v>28398.619385453421</v>
      </c>
    </row>
    <row r="649" spans="1:6" x14ac:dyDescent="0.2">
      <c r="A649" s="75" t="s">
        <v>173</v>
      </c>
      <c r="B649" s="76"/>
      <c r="C649" s="76"/>
      <c r="D649" s="77"/>
      <c r="E649" s="78"/>
      <c r="F649" s="79"/>
    </row>
    <row r="650" spans="1:6" x14ac:dyDescent="0.2">
      <c r="A650" s="61" t="s">
        <v>158</v>
      </c>
      <c r="B650" s="62" t="s">
        <v>159</v>
      </c>
      <c r="C650" s="62" t="s">
        <v>174</v>
      </c>
      <c r="D650" s="98" t="s">
        <v>175</v>
      </c>
      <c r="E650" s="63" t="s">
        <v>165</v>
      </c>
      <c r="F650" s="64" t="s">
        <v>162</v>
      </c>
    </row>
    <row r="651" spans="1:6" x14ac:dyDescent="0.2">
      <c r="A651" s="65">
        <v>0</v>
      </c>
      <c r="B651" s="66">
        <v>0</v>
      </c>
      <c r="C651" s="99"/>
      <c r="D651" s="81"/>
      <c r="E651" s="83">
        <v>0</v>
      </c>
      <c r="F651" s="84">
        <v>0</v>
      </c>
    </row>
    <row r="652" spans="1:6" x14ac:dyDescent="0.2">
      <c r="A652" s="65">
        <v>0</v>
      </c>
      <c r="B652" s="66">
        <v>0</v>
      </c>
      <c r="C652" s="99"/>
      <c r="D652" s="81"/>
      <c r="E652" s="83">
        <v>0</v>
      </c>
      <c r="F652" s="84">
        <v>0</v>
      </c>
    </row>
    <row r="653" spans="1:6" ht="15" x14ac:dyDescent="0.25">
      <c r="A653" s="72"/>
      <c r="B653" s="73"/>
      <c r="C653" s="408" t="s">
        <v>176</v>
      </c>
      <c r="D653" s="408"/>
      <c r="E653" s="409"/>
      <c r="F653" s="74">
        <v>0</v>
      </c>
    </row>
    <row r="654" spans="1:6" ht="15" thickBot="1" x14ac:dyDescent="0.25">
      <c r="A654" s="75"/>
      <c r="B654" s="76"/>
      <c r="C654" s="76"/>
      <c r="D654" s="77"/>
      <c r="E654" s="78"/>
      <c r="F654" s="79"/>
    </row>
    <row r="655" spans="1:6" ht="15.75" thickBot="1" x14ac:dyDescent="0.3">
      <c r="A655" s="100" t="s">
        <v>177</v>
      </c>
      <c r="B655" s="101"/>
      <c r="C655" s="101"/>
      <c r="D655" s="101"/>
      <c r="E655" s="102"/>
      <c r="F655" s="103">
        <f>+F648+F634</f>
        <v>30522.619385453421</v>
      </c>
    </row>
    <row r="656" spans="1:6" ht="15" x14ac:dyDescent="0.25">
      <c r="A656" s="104" t="s">
        <v>178</v>
      </c>
      <c r="B656" s="105"/>
      <c r="C656" s="105"/>
      <c r="D656" s="105"/>
      <c r="E656" s="105"/>
      <c r="F656" s="106" t="s">
        <v>179</v>
      </c>
    </row>
    <row r="657" spans="1:6" x14ac:dyDescent="0.2">
      <c r="A657" s="399" t="s">
        <v>158</v>
      </c>
      <c r="B657" s="400"/>
      <c r="C657" s="400"/>
      <c r="D657" s="400"/>
      <c r="E657" s="107" t="s">
        <v>144</v>
      </c>
      <c r="F657" s="108"/>
    </row>
    <row r="658" spans="1:6" x14ac:dyDescent="0.2">
      <c r="A658" s="399" t="s">
        <v>180</v>
      </c>
      <c r="B658" s="400"/>
      <c r="C658" s="400"/>
      <c r="D658" s="400"/>
      <c r="E658" s="109">
        <v>0.23</v>
      </c>
      <c r="F658" s="108">
        <f>+E658*F655</f>
        <v>7020.2024586542875</v>
      </c>
    </row>
    <row r="659" spans="1:6" x14ac:dyDescent="0.2">
      <c r="A659" s="399" t="s">
        <v>181</v>
      </c>
      <c r="B659" s="400"/>
      <c r="C659" s="400"/>
      <c r="D659" s="400"/>
      <c r="E659" s="109">
        <v>0.02</v>
      </c>
      <c r="F659" s="108">
        <f>+E659*F655</f>
        <v>610.45238770906849</v>
      </c>
    </row>
    <row r="660" spans="1:6" x14ac:dyDescent="0.2">
      <c r="A660" s="399" t="s">
        <v>182</v>
      </c>
      <c r="B660" s="400"/>
      <c r="C660" s="400"/>
      <c r="D660" s="400"/>
      <c r="E660" s="109">
        <v>0.05</v>
      </c>
      <c r="F660" s="108">
        <f>+E660*F655</f>
        <v>1526.1309692726711</v>
      </c>
    </row>
    <row r="661" spans="1:6" x14ac:dyDescent="0.2">
      <c r="A661" s="110" t="s">
        <v>183</v>
      </c>
      <c r="B661" s="111"/>
      <c r="C661" s="111"/>
      <c r="D661" s="111"/>
      <c r="E661" s="109"/>
      <c r="F661" s="108">
        <v>0</v>
      </c>
    </row>
    <row r="662" spans="1:6" ht="15" x14ac:dyDescent="0.2">
      <c r="A662" s="112"/>
      <c r="B662" s="113"/>
      <c r="C662" s="113"/>
      <c r="D662" s="113"/>
      <c r="E662" s="114" t="s">
        <v>184</v>
      </c>
      <c r="F662" s="115">
        <f>+F658+F659+F660</f>
        <v>9156.7858156360271</v>
      </c>
    </row>
    <row r="663" spans="1:6" ht="15.75" thickBot="1" x14ac:dyDescent="0.3">
      <c r="A663" s="401" t="s">
        <v>185</v>
      </c>
      <c r="B663" s="402"/>
      <c r="C663" s="402"/>
      <c r="D663" s="402"/>
      <c r="E663" s="402"/>
      <c r="F663" s="116">
        <f>+F655+F662</f>
        <v>39679.405201089452</v>
      </c>
    </row>
    <row r="664" spans="1:6" x14ac:dyDescent="0.2">
      <c r="A664" s="41" t="s">
        <v>153</v>
      </c>
      <c r="B664" s="117" t="s">
        <v>95</v>
      </c>
      <c r="C664" s="43"/>
      <c r="D664" s="44"/>
      <c r="E664" s="45"/>
      <c r="F664" s="46"/>
    </row>
    <row r="665" spans="1:6" x14ac:dyDescent="0.2">
      <c r="A665" s="48" t="s">
        <v>154</v>
      </c>
      <c r="B665" s="403" t="s">
        <v>96</v>
      </c>
      <c r="C665" s="404"/>
      <c r="D665" s="404"/>
      <c r="E665" s="404"/>
      <c r="F665" s="405"/>
    </row>
    <row r="666" spans="1:6" ht="15" thickBot="1" x14ac:dyDescent="0.25">
      <c r="A666" s="50" t="s">
        <v>156</v>
      </c>
      <c r="B666" s="51" t="s">
        <v>15</v>
      </c>
      <c r="C666" s="52"/>
      <c r="D666" s="53"/>
      <c r="E666" s="52"/>
      <c r="F666" s="54"/>
    </row>
    <row r="667" spans="1:6" x14ac:dyDescent="0.2">
      <c r="A667" s="55" t="s">
        <v>157</v>
      </c>
      <c r="B667" s="56"/>
      <c r="C667" s="57"/>
      <c r="D667" s="58"/>
      <c r="E667" s="59"/>
      <c r="F667" s="60"/>
    </row>
    <row r="668" spans="1:6" x14ac:dyDescent="0.2">
      <c r="A668" s="61" t="s">
        <v>158</v>
      </c>
      <c r="B668" s="62" t="s">
        <v>159</v>
      </c>
      <c r="C668" s="406" t="s">
        <v>160</v>
      </c>
      <c r="D668" s="407"/>
      <c r="E668" s="63" t="s">
        <v>161</v>
      </c>
      <c r="F668" s="64" t="s">
        <v>162</v>
      </c>
    </row>
    <row r="669" spans="1:6" x14ac:dyDescent="0.2">
      <c r="A669" s="65" t="s">
        <v>188</v>
      </c>
      <c r="B669" s="66" t="s">
        <v>189</v>
      </c>
      <c r="C669" s="67">
        <f>+Lista_prec_base!C35</f>
        <v>8496</v>
      </c>
      <c r="D669" s="68"/>
      <c r="E669" s="69">
        <v>5</v>
      </c>
      <c r="F669" s="70">
        <f>+C669/E669</f>
        <v>1699.2</v>
      </c>
    </row>
    <row r="670" spans="1:6" x14ac:dyDescent="0.2">
      <c r="A670" s="65"/>
      <c r="B670" s="66"/>
      <c r="C670" s="67"/>
      <c r="D670" s="68"/>
      <c r="E670" s="69"/>
      <c r="F670" s="70"/>
    </row>
    <row r="671" spans="1:6" x14ac:dyDescent="0.2">
      <c r="A671" s="65"/>
      <c r="B671" s="66"/>
      <c r="C671" s="67">
        <v>0</v>
      </c>
      <c r="D671" s="68"/>
      <c r="E671" s="71"/>
      <c r="F671" s="70">
        <v>0</v>
      </c>
    </row>
    <row r="672" spans="1:6" x14ac:dyDescent="0.2">
      <c r="A672" s="65"/>
      <c r="B672" s="66"/>
      <c r="C672" s="67">
        <v>0</v>
      </c>
      <c r="D672" s="68"/>
      <c r="E672" s="71"/>
      <c r="F672" s="70">
        <v>0</v>
      </c>
    </row>
    <row r="673" spans="1:9" ht="15" x14ac:dyDescent="0.25">
      <c r="A673" s="72"/>
      <c r="B673" s="73"/>
      <c r="C673" s="408" t="s">
        <v>163</v>
      </c>
      <c r="D673" s="408"/>
      <c r="E673" s="409"/>
      <c r="F673" s="74">
        <f>SUM(F669:F672)</f>
        <v>1699.2</v>
      </c>
    </row>
    <row r="674" spans="1:9" x14ac:dyDescent="0.2">
      <c r="A674" s="75" t="s">
        <v>164</v>
      </c>
      <c r="B674" s="76"/>
      <c r="C674" s="76"/>
      <c r="D674" s="77"/>
      <c r="E674" s="78"/>
      <c r="F674" s="79"/>
    </row>
    <row r="675" spans="1:9" x14ac:dyDescent="0.2">
      <c r="A675" s="61" t="s">
        <v>158</v>
      </c>
      <c r="B675" s="62" t="s">
        <v>159</v>
      </c>
      <c r="C675" s="406" t="s">
        <v>7</v>
      </c>
      <c r="D675" s="407"/>
      <c r="E675" s="63" t="s">
        <v>165</v>
      </c>
      <c r="F675" s="64" t="s">
        <v>162</v>
      </c>
    </row>
    <row r="676" spans="1:9" x14ac:dyDescent="0.2">
      <c r="A676" s="80" t="s">
        <v>231</v>
      </c>
      <c r="B676" s="66" t="s">
        <v>232</v>
      </c>
      <c r="C676" s="86">
        <v>0.2</v>
      </c>
      <c r="D676" s="82"/>
      <c r="E676" s="83">
        <f>+Lista_prec_base!C18</f>
        <v>49975</v>
      </c>
      <c r="F676" s="84">
        <f>+C676*E676</f>
        <v>9995</v>
      </c>
    </row>
    <row r="677" spans="1:9" x14ac:dyDescent="0.2">
      <c r="A677" s="85">
        <v>0</v>
      </c>
      <c r="B677" s="66">
        <v>0</v>
      </c>
      <c r="C677" s="86"/>
      <c r="D677" s="82"/>
      <c r="E677" s="83">
        <v>0</v>
      </c>
      <c r="F677" s="84">
        <v>0</v>
      </c>
    </row>
    <row r="678" spans="1:9" x14ac:dyDescent="0.2">
      <c r="A678" s="65">
        <v>0</v>
      </c>
      <c r="B678" s="66">
        <v>0</v>
      </c>
      <c r="C678" s="87"/>
      <c r="D678" s="82"/>
      <c r="E678" s="83">
        <v>0</v>
      </c>
      <c r="F678" s="84">
        <v>0</v>
      </c>
    </row>
    <row r="679" spans="1:9" x14ac:dyDescent="0.2">
      <c r="A679" s="65">
        <v>0</v>
      </c>
      <c r="B679" s="66">
        <v>0</v>
      </c>
      <c r="C679" s="87"/>
      <c r="D679" s="82"/>
      <c r="E679" s="83">
        <v>0</v>
      </c>
      <c r="F679" s="84">
        <v>0</v>
      </c>
    </row>
    <row r="680" spans="1:9" x14ac:dyDescent="0.2">
      <c r="A680" s="65">
        <v>0</v>
      </c>
      <c r="B680" s="66">
        <v>0</v>
      </c>
      <c r="C680" s="87"/>
      <c r="D680" s="82"/>
      <c r="E680" s="83">
        <v>0</v>
      </c>
      <c r="F680" s="84">
        <v>0</v>
      </c>
    </row>
    <row r="681" spans="1:9" ht="15" x14ac:dyDescent="0.25">
      <c r="A681" s="72"/>
      <c r="B681" s="73"/>
      <c r="C681" s="408" t="s">
        <v>167</v>
      </c>
      <c r="D681" s="408"/>
      <c r="E681" s="409"/>
      <c r="F681" s="74">
        <f>+F676</f>
        <v>9995</v>
      </c>
    </row>
    <row r="682" spans="1:9" x14ac:dyDescent="0.2">
      <c r="A682" s="72" t="s">
        <v>168</v>
      </c>
      <c r="B682" s="73"/>
      <c r="C682" s="73"/>
      <c r="D682" s="88"/>
      <c r="E682" s="89"/>
      <c r="F682" s="90"/>
    </row>
    <row r="683" spans="1:9" x14ac:dyDescent="0.2">
      <c r="A683" s="61" t="s">
        <v>158</v>
      </c>
      <c r="B683" s="62" t="s">
        <v>159</v>
      </c>
      <c r="C683" s="62" t="s">
        <v>169</v>
      </c>
      <c r="D683" s="91" t="s">
        <v>170</v>
      </c>
      <c r="E683" s="63" t="s">
        <v>161</v>
      </c>
      <c r="F683" s="64" t="s">
        <v>171</v>
      </c>
    </row>
    <row r="684" spans="1:9" x14ac:dyDescent="0.2">
      <c r="A684" s="65" t="s">
        <v>190</v>
      </c>
      <c r="B684" s="92" t="s">
        <v>191</v>
      </c>
      <c r="C684" s="93">
        <v>1.65</v>
      </c>
      <c r="D684" s="94">
        <f>+Lista_prec_base!C43</f>
        <v>67000</v>
      </c>
      <c r="E684" s="95">
        <v>1.0934019374120927</v>
      </c>
      <c r="F684" s="70">
        <f>+C684*D684/E684</f>
        <v>101106.4606869585</v>
      </c>
    </row>
    <row r="685" spans="1:9" x14ac:dyDescent="0.2">
      <c r="A685" s="65">
        <v>0</v>
      </c>
      <c r="B685" s="92">
        <v>0</v>
      </c>
      <c r="C685" s="93"/>
      <c r="D685" s="94">
        <v>0</v>
      </c>
      <c r="E685" s="96"/>
      <c r="F685" s="97">
        <v>0</v>
      </c>
    </row>
    <row r="686" spans="1:9" x14ac:dyDescent="0.2">
      <c r="A686" s="65">
        <v>0</v>
      </c>
      <c r="B686" s="92">
        <v>0</v>
      </c>
      <c r="C686" s="93"/>
      <c r="D686" s="94">
        <v>0</v>
      </c>
      <c r="E686" s="96"/>
      <c r="F686" s="97">
        <v>0</v>
      </c>
      <c r="I686" s="119"/>
    </row>
    <row r="687" spans="1:9" ht="15" x14ac:dyDescent="0.25">
      <c r="A687" s="72"/>
      <c r="B687" s="73"/>
      <c r="C687" s="408" t="s">
        <v>172</v>
      </c>
      <c r="D687" s="408"/>
      <c r="E687" s="409"/>
      <c r="F687" s="74">
        <f>+F684</f>
        <v>101106.4606869585</v>
      </c>
      <c r="H687" s="199">
        <f>+F687/F694</f>
        <v>0.89632862140361536</v>
      </c>
    </row>
    <row r="688" spans="1:9" x14ac:dyDescent="0.2">
      <c r="A688" s="75" t="s">
        <v>173</v>
      </c>
      <c r="B688" s="76"/>
      <c r="C688" s="76"/>
      <c r="D688" s="77"/>
      <c r="E688" s="78"/>
      <c r="F688" s="79"/>
    </row>
    <row r="689" spans="1:6" x14ac:dyDescent="0.2">
      <c r="A689" s="61" t="s">
        <v>158</v>
      </c>
      <c r="B689" s="62" t="s">
        <v>159</v>
      </c>
      <c r="C689" s="62" t="s">
        <v>174</v>
      </c>
      <c r="D689" s="98" t="s">
        <v>175</v>
      </c>
      <c r="E689" s="63" t="s">
        <v>165</v>
      </c>
      <c r="F689" s="64" t="s">
        <v>162</v>
      </c>
    </row>
    <row r="690" spans="1:6" x14ac:dyDescent="0.2">
      <c r="A690" s="65">
        <v>0</v>
      </c>
      <c r="B690" s="66">
        <v>0</v>
      </c>
      <c r="C690" s="99"/>
      <c r="D690" s="81"/>
      <c r="E690" s="83">
        <v>0</v>
      </c>
      <c r="F690" s="84">
        <v>0</v>
      </c>
    </row>
    <row r="691" spans="1:6" x14ac:dyDescent="0.2">
      <c r="A691" s="65">
        <v>0</v>
      </c>
      <c r="B691" s="66">
        <v>0</v>
      </c>
      <c r="C691" s="99"/>
      <c r="D691" s="81"/>
      <c r="E691" s="83">
        <v>0</v>
      </c>
      <c r="F691" s="84">
        <v>0</v>
      </c>
    </row>
    <row r="692" spans="1:6" ht="15" x14ac:dyDescent="0.25">
      <c r="A692" s="72"/>
      <c r="B692" s="73"/>
      <c r="C692" s="408" t="s">
        <v>176</v>
      </c>
      <c r="D692" s="408"/>
      <c r="E692" s="409"/>
      <c r="F692" s="74">
        <v>0</v>
      </c>
    </row>
    <row r="693" spans="1:6" ht="15" thickBot="1" x14ac:dyDescent="0.25">
      <c r="A693" s="75"/>
      <c r="B693" s="76"/>
      <c r="C693" s="76"/>
      <c r="D693" s="77"/>
      <c r="E693" s="78"/>
      <c r="F693" s="79"/>
    </row>
    <row r="694" spans="1:6" ht="15.75" thickBot="1" x14ac:dyDescent="0.3">
      <c r="A694" s="100" t="s">
        <v>177</v>
      </c>
      <c r="B694" s="101"/>
      <c r="C694" s="101"/>
      <c r="D694" s="101"/>
      <c r="E694" s="102"/>
      <c r="F694" s="103">
        <f>+F687+F673+F681</f>
        <v>112800.66068695849</v>
      </c>
    </row>
    <row r="695" spans="1:6" ht="15" x14ac:dyDescent="0.25">
      <c r="A695" s="104" t="s">
        <v>178</v>
      </c>
      <c r="B695" s="105"/>
      <c r="C695" s="105"/>
      <c r="D695" s="105"/>
      <c r="E695" s="105"/>
      <c r="F695" s="106" t="s">
        <v>179</v>
      </c>
    </row>
    <row r="696" spans="1:6" x14ac:dyDescent="0.2">
      <c r="A696" s="399" t="s">
        <v>158</v>
      </c>
      <c r="B696" s="400"/>
      <c r="C696" s="400"/>
      <c r="D696" s="400"/>
      <c r="E696" s="107" t="s">
        <v>144</v>
      </c>
      <c r="F696" s="108"/>
    </row>
    <row r="697" spans="1:6" x14ac:dyDescent="0.2">
      <c r="A697" s="399" t="s">
        <v>180</v>
      </c>
      <c r="B697" s="400"/>
      <c r="C697" s="400"/>
      <c r="D697" s="400"/>
      <c r="E697" s="109">
        <v>0.23</v>
      </c>
      <c r="F697" s="108">
        <f>+E697*F694</f>
        <v>25944.151958000453</v>
      </c>
    </row>
    <row r="698" spans="1:6" x14ac:dyDescent="0.2">
      <c r="A698" s="399" t="s">
        <v>181</v>
      </c>
      <c r="B698" s="400"/>
      <c r="C698" s="400"/>
      <c r="D698" s="400"/>
      <c r="E698" s="109">
        <v>0.02</v>
      </c>
      <c r="F698" s="108">
        <f>+E698*F694</f>
        <v>2256.0132137391697</v>
      </c>
    </row>
    <row r="699" spans="1:6" x14ac:dyDescent="0.2">
      <c r="A699" s="399" t="s">
        <v>182</v>
      </c>
      <c r="B699" s="400"/>
      <c r="C699" s="400"/>
      <c r="D699" s="400"/>
      <c r="E699" s="109">
        <v>0.05</v>
      </c>
      <c r="F699" s="108">
        <f>+E699*F694</f>
        <v>5640.0330343479254</v>
      </c>
    </row>
    <row r="700" spans="1:6" x14ac:dyDescent="0.2">
      <c r="A700" s="110" t="s">
        <v>183</v>
      </c>
      <c r="B700" s="111"/>
      <c r="C700" s="111"/>
      <c r="D700" s="111"/>
      <c r="E700" s="109"/>
      <c r="F700" s="108">
        <v>0</v>
      </c>
    </row>
    <row r="701" spans="1:6" ht="15" x14ac:dyDescent="0.2">
      <c r="A701" s="112"/>
      <c r="B701" s="113"/>
      <c r="C701" s="113"/>
      <c r="D701" s="113"/>
      <c r="E701" s="114" t="s">
        <v>184</v>
      </c>
      <c r="F701" s="115">
        <f>+F697+F698+F699</f>
        <v>33840.198206087545</v>
      </c>
    </row>
    <row r="702" spans="1:6" ht="15.75" thickBot="1" x14ac:dyDescent="0.3">
      <c r="A702" s="401" t="s">
        <v>185</v>
      </c>
      <c r="B702" s="402"/>
      <c r="C702" s="402"/>
      <c r="D702" s="402"/>
      <c r="E702" s="402"/>
      <c r="F702" s="116">
        <f>+F694+F701</f>
        <v>146640.85889304604</v>
      </c>
    </row>
    <row r="703" spans="1:6" x14ac:dyDescent="0.2">
      <c r="A703" s="41" t="s">
        <v>153</v>
      </c>
      <c r="B703" s="117" t="s">
        <v>97</v>
      </c>
      <c r="C703" s="43"/>
      <c r="D703" s="44"/>
      <c r="E703" s="45"/>
      <c r="F703" s="46"/>
    </row>
    <row r="704" spans="1:6" x14ac:dyDescent="0.2">
      <c r="A704" s="48" t="s">
        <v>154</v>
      </c>
      <c r="B704" s="403" t="s">
        <v>98</v>
      </c>
      <c r="C704" s="404"/>
      <c r="D704" s="404"/>
      <c r="E704" s="404"/>
      <c r="F704" s="405"/>
    </row>
    <row r="705" spans="1:6" ht="15" thickBot="1" x14ac:dyDescent="0.25">
      <c r="A705" s="50" t="s">
        <v>156</v>
      </c>
      <c r="B705" s="51" t="s">
        <v>15</v>
      </c>
      <c r="C705" s="52"/>
      <c r="D705" s="53"/>
      <c r="E705" s="52"/>
      <c r="F705" s="54"/>
    </row>
    <row r="706" spans="1:6" x14ac:dyDescent="0.2">
      <c r="A706" s="55" t="s">
        <v>157</v>
      </c>
      <c r="B706" s="56"/>
      <c r="C706" s="57"/>
      <c r="D706" s="58"/>
      <c r="E706" s="59"/>
      <c r="F706" s="60"/>
    </row>
    <row r="707" spans="1:6" x14ac:dyDescent="0.2">
      <c r="A707" s="61" t="s">
        <v>158</v>
      </c>
      <c r="B707" s="62" t="s">
        <v>159</v>
      </c>
      <c r="C707" s="406" t="s">
        <v>160</v>
      </c>
      <c r="D707" s="407"/>
      <c r="E707" s="63" t="s">
        <v>161</v>
      </c>
      <c r="F707" s="64" t="s">
        <v>162</v>
      </c>
    </row>
    <row r="708" spans="1:6" x14ac:dyDescent="0.2">
      <c r="A708" s="65" t="s">
        <v>188</v>
      </c>
      <c r="B708" s="66" t="s">
        <v>189</v>
      </c>
      <c r="C708" s="67">
        <f>+Lista_prec_base!C35</f>
        <v>8496</v>
      </c>
      <c r="D708" s="68"/>
      <c r="E708" s="69">
        <v>5</v>
      </c>
      <c r="F708" s="70">
        <f>+C708/E708</f>
        <v>1699.2</v>
      </c>
    </row>
    <row r="709" spans="1:6" x14ac:dyDescent="0.2">
      <c r="A709" s="65"/>
      <c r="B709" s="66"/>
      <c r="C709" s="67"/>
      <c r="D709" s="68"/>
      <c r="E709" s="69"/>
      <c r="F709" s="70"/>
    </row>
    <row r="710" spans="1:6" x14ac:dyDescent="0.2">
      <c r="A710" s="65"/>
      <c r="B710" s="66"/>
      <c r="C710" s="67">
        <v>0</v>
      </c>
      <c r="D710" s="68"/>
      <c r="E710" s="71"/>
      <c r="F710" s="70">
        <v>0</v>
      </c>
    </row>
    <row r="711" spans="1:6" x14ac:dyDescent="0.2">
      <c r="A711" s="65"/>
      <c r="B711" s="66"/>
      <c r="C711" s="67">
        <v>0</v>
      </c>
      <c r="D711" s="68"/>
      <c r="E711" s="71"/>
      <c r="F711" s="70">
        <v>0</v>
      </c>
    </row>
    <row r="712" spans="1:6" ht="15" x14ac:dyDescent="0.25">
      <c r="A712" s="72"/>
      <c r="B712" s="73"/>
      <c r="C712" s="408" t="s">
        <v>163</v>
      </c>
      <c r="D712" s="408"/>
      <c r="E712" s="409"/>
      <c r="F712" s="74">
        <f>SUM(F708:F711)</f>
        <v>1699.2</v>
      </c>
    </row>
    <row r="713" spans="1:6" x14ac:dyDescent="0.2">
      <c r="A713" s="75" t="s">
        <v>164</v>
      </c>
      <c r="B713" s="76"/>
      <c r="C713" s="76"/>
      <c r="D713" s="77"/>
      <c r="E713" s="78"/>
      <c r="F713" s="79"/>
    </row>
    <row r="714" spans="1:6" x14ac:dyDescent="0.2">
      <c r="A714" s="61" t="s">
        <v>158</v>
      </c>
      <c r="B714" s="62" t="s">
        <v>159</v>
      </c>
      <c r="C714" s="406" t="s">
        <v>7</v>
      </c>
      <c r="D714" s="407"/>
      <c r="E714" s="63" t="s">
        <v>165</v>
      </c>
      <c r="F714" s="64" t="s">
        <v>162</v>
      </c>
    </row>
    <row r="715" spans="1:6" x14ac:dyDescent="0.2">
      <c r="A715" s="80" t="s">
        <v>231</v>
      </c>
      <c r="B715" s="66" t="s">
        <v>232</v>
      </c>
      <c r="C715" s="86">
        <v>1</v>
      </c>
      <c r="D715" s="82"/>
      <c r="E715" s="83">
        <f>+Lista_prec_base!C18</f>
        <v>49975</v>
      </c>
      <c r="F715" s="84">
        <f>+C715*E715</f>
        <v>49975</v>
      </c>
    </row>
    <row r="716" spans="1:6" x14ac:dyDescent="0.2">
      <c r="A716" s="85">
        <v>0</v>
      </c>
      <c r="B716" s="66">
        <v>0</v>
      </c>
      <c r="C716" s="86"/>
      <c r="D716" s="82"/>
      <c r="E716" s="83">
        <v>0</v>
      </c>
      <c r="F716" s="84">
        <v>0</v>
      </c>
    </row>
    <row r="717" spans="1:6" x14ac:dyDescent="0.2">
      <c r="A717" s="65">
        <v>0</v>
      </c>
      <c r="B717" s="66">
        <v>0</v>
      </c>
      <c r="C717" s="87"/>
      <c r="D717" s="82"/>
      <c r="E717" s="83">
        <v>0</v>
      </c>
      <c r="F717" s="84">
        <v>0</v>
      </c>
    </row>
    <row r="718" spans="1:6" x14ac:dyDescent="0.2">
      <c r="A718" s="65">
        <v>0</v>
      </c>
      <c r="B718" s="66">
        <v>0</v>
      </c>
      <c r="C718" s="87"/>
      <c r="D718" s="82"/>
      <c r="E718" s="83">
        <v>0</v>
      </c>
      <c r="F718" s="84">
        <v>0</v>
      </c>
    </row>
    <row r="719" spans="1:6" x14ac:dyDescent="0.2">
      <c r="A719" s="65">
        <v>0</v>
      </c>
      <c r="B719" s="66">
        <v>0</v>
      </c>
      <c r="C719" s="87"/>
      <c r="D719" s="82"/>
      <c r="E719" s="83">
        <v>0</v>
      </c>
      <c r="F719" s="84">
        <v>0</v>
      </c>
    </row>
    <row r="720" spans="1:6" ht="15" x14ac:dyDescent="0.25">
      <c r="A720" s="72"/>
      <c r="B720" s="73"/>
      <c r="C720" s="408" t="s">
        <v>167</v>
      </c>
      <c r="D720" s="408"/>
      <c r="E720" s="409"/>
      <c r="F720" s="74">
        <f>+F715</f>
        <v>49975</v>
      </c>
    </row>
    <row r="721" spans="1:9" x14ac:dyDescent="0.2">
      <c r="A721" s="72" t="s">
        <v>168</v>
      </c>
      <c r="B721" s="73"/>
      <c r="C721" s="73"/>
      <c r="D721" s="88"/>
      <c r="E721" s="89"/>
      <c r="F721" s="90"/>
    </row>
    <row r="722" spans="1:9" x14ac:dyDescent="0.2">
      <c r="A722" s="61" t="s">
        <v>158</v>
      </c>
      <c r="B722" s="62" t="s">
        <v>159</v>
      </c>
      <c r="C722" s="62" t="s">
        <v>169</v>
      </c>
      <c r="D722" s="91" t="s">
        <v>170</v>
      </c>
      <c r="E722" s="63" t="s">
        <v>161</v>
      </c>
      <c r="F722" s="64" t="s">
        <v>171</v>
      </c>
    </row>
    <row r="723" spans="1:9" x14ac:dyDescent="0.2">
      <c r="A723" s="65" t="s">
        <v>190</v>
      </c>
      <c r="B723" s="92" t="s">
        <v>191</v>
      </c>
      <c r="C723" s="93">
        <v>1.65</v>
      </c>
      <c r="D723" s="94">
        <f>+Lista_prec_base!C43</f>
        <v>67000</v>
      </c>
      <c r="E723" s="95">
        <v>1.0934019374120927</v>
      </c>
      <c r="F723" s="70">
        <f>+C723*D723/E723</f>
        <v>101106.4606869585</v>
      </c>
    </row>
    <row r="724" spans="1:9" x14ac:dyDescent="0.2">
      <c r="A724" s="65">
        <v>0</v>
      </c>
      <c r="B724" s="92">
        <v>0</v>
      </c>
      <c r="C724" s="93"/>
      <c r="D724" s="94">
        <v>0</v>
      </c>
      <c r="E724" s="96"/>
      <c r="F724" s="97">
        <v>0</v>
      </c>
    </row>
    <row r="725" spans="1:9" x14ac:dyDescent="0.2">
      <c r="A725" s="65">
        <v>0</v>
      </c>
      <c r="B725" s="92">
        <v>0</v>
      </c>
      <c r="C725" s="93"/>
      <c r="D725" s="94">
        <v>0</v>
      </c>
      <c r="E725" s="96"/>
      <c r="F725" s="97">
        <v>0</v>
      </c>
      <c r="I725" s="119"/>
    </row>
    <row r="726" spans="1:9" ht="15" x14ac:dyDescent="0.25">
      <c r="A726" s="72"/>
      <c r="B726" s="73"/>
      <c r="C726" s="408" t="s">
        <v>172</v>
      </c>
      <c r="D726" s="408"/>
      <c r="E726" s="409"/>
      <c r="F726" s="74">
        <f>+F723</f>
        <v>101106.4606869585</v>
      </c>
    </row>
    <row r="727" spans="1:9" x14ac:dyDescent="0.2">
      <c r="A727" s="75" t="s">
        <v>173</v>
      </c>
      <c r="B727" s="76"/>
      <c r="C727" s="76"/>
      <c r="D727" s="77"/>
      <c r="E727" s="78"/>
      <c r="F727" s="79"/>
    </row>
    <row r="728" spans="1:9" x14ac:dyDescent="0.2">
      <c r="A728" s="61" t="s">
        <v>158</v>
      </c>
      <c r="B728" s="62" t="s">
        <v>159</v>
      </c>
      <c r="C728" s="62" t="s">
        <v>174</v>
      </c>
      <c r="D728" s="98" t="s">
        <v>175</v>
      </c>
      <c r="E728" s="63" t="s">
        <v>165</v>
      </c>
      <c r="F728" s="64" t="s">
        <v>162</v>
      </c>
    </row>
    <row r="729" spans="1:9" x14ac:dyDescent="0.2">
      <c r="A729" s="65">
        <v>0</v>
      </c>
      <c r="B729" s="66">
        <v>0</v>
      </c>
      <c r="C729" s="99"/>
      <c r="D729" s="81"/>
      <c r="E729" s="83">
        <v>0</v>
      </c>
      <c r="F729" s="84">
        <v>0</v>
      </c>
    </row>
    <row r="730" spans="1:9" x14ac:dyDescent="0.2">
      <c r="A730" s="65">
        <v>0</v>
      </c>
      <c r="B730" s="66">
        <v>0</v>
      </c>
      <c r="C730" s="99"/>
      <c r="D730" s="81"/>
      <c r="E730" s="83">
        <v>0</v>
      </c>
      <c r="F730" s="84">
        <v>0</v>
      </c>
    </row>
    <row r="731" spans="1:9" ht="15" x14ac:dyDescent="0.25">
      <c r="A731" s="72"/>
      <c r="B731" s="73"/>
      <c r="C731" s="408" t="s">
        <v>176</v>
      </c>
      <c r="D731" s="408"/>
      <c r="E731" s="409"/>
      <c r="F731" s="74">
        <v>0</v>
      </c>
    </row>
    <row r="732" spans="1:9" ht="15" thickBot="1" x14ac:dyDescent="0.25">
      <c r="A732" s="75"/>
      <c r="B732" s="76"/>
      <c r="C732" s="76"/>
      <c r="D732" s="77"/>
      <c r="E732" s="78"/>
      <c r="F732" s="79"/>
    </row>
    <row r="733" spans="1:9" ht="15.75" thickBot="1" x14ac:dyDescent="0.3">
      <c r="A733" s="100" t="s">
        <v>177</v>
      </c>
      <c r="B733" s="101"/>
      <c r="C733" s="101"/>
      <c r="D733" s="101"/>
      <c r="E733" s="102"/>
      <c r="F733" s="103">
        <f>+F726+F712+F720</f>
        <v>152780.66068695849</v>
      </c>
    </row>
    <row r="734" spans="1:9" ht="15" x14ac:dyDescent="0.25">
      <c r="A734" s="104" t="s">
        <v>178</v>
      </c>
      <c r="B734" s="105"/>
      <c r="C734" s="105"/>
      <c r="D734" s="105"/>
      <c r="E734" s="105"/>
      <c r="F734" s="106" t="s">
        <v>179</v>
      </c>
    </row>
    <row r="735" spans="1:9" x14ac:dyDescent="0.2">
      <c r="A735" s="399" t="s">
        <v>158</v>
      </c>
      <c r="B735" s="400"/>
      <c r="C735" s="400"/>
      <c r="D735" s="400"/>
      <c r="E735" s="107" t="s">
        <v>144</v>
      </c>
      <c r="F735" s="108"/>
    </row>
    <row r="736" spans="1:9" x14ac:dyDescent="0.2">
      <c r="A736" s="399" t="s">
        <v>180</v>
      </c>
      <c r="B736" s="400"/>
      <c r="C736" s="400"/>
      <c r="D736" s="400"/>
      <c r="E736" s="109">
        <v>0.23</v>
      </c>
      <c r="F736" s="108">
        <f>+E736*F733</f>
        <v>35139.551958000455</v>
      </c>
    </row>
    <row r="737" spans="1:6" x14ac:dyDescent="0.2">
      <c r="A737" s="399" t="s">
        <v>181</v>
      </c>
      <c r="B737" s="400"/>
      <c r="C737" s="400"/>
      <c r="D737" s="400"/>
      <c r="E737" s="109">
        <v>0.02</v>
      </c>
      <c r="F737" s="108">
        <f>+E737*F733</f>
        <v>3055.6132137391701</v>
      </c>
    </row>
    <row r="738" spans="1:6" x14ac:dyDescent="0.2">
      <c r="A738" s="399" t="s">
        <v>182</v>
      </c>
      <c r="B738" s="400"/>
      <c r="C738" s="400"/>
      <c r="D738" s="400"/>
      <c r="E738" s="109">
        <v>0.05</v>
      </c>
      <c r="F738" s="108">
        <f>+E738*F733</f>
        <v>7639.0330343479254</v>
      </c>
    </row>
    <row r="739" spans="1:6" x14ac:dyDescent="0.2">
      <c r="A739" s="110" t="s">
        <v>183</v>
      </c>
      <c r="B739" s="111"/>
      <c r="C739" s="111"/>
      <c r="D739" s="111"/>
      <c r="E739" s="109"/>
      <c r="F739" s="108">
        <v>0</v>
      </c>
    </row>
    <row r="740" spans="1:6" ht="15" x14ac:dyDescent="0.2">
      <c r="A740" s="112"/>
      <c r="B740" s="113"/>
      <c r="C740" s="113"/>
      <c r="D740" s="113"/>
      <c r="E740" s="114" t="s">
        <v>184</v>
      </c>
      <c r="F740" s="115">
        <f>+F736+F737+F738</f>
        <v>45834.198206087545</v>
      </c>
    </row>
    <row r="741" spans="1:6" ht="15.75" thickBot="1" x14ac:dyDescent="0.3">
      <c r="A741" s="401" t="s">
        <v>185</v>
      </c>
      <c r="B741" s="402"/>
      <c r="C741" s="402"/>
      <c r="D741" s="402"/>
      <c r="E741" s="402"/>
      <c r="F741" s="116">
        <f>+F733+F740</f>
        <v>198614.85889304604</v>
      </c>
    </row>
    <row r="742" spans="1:6" x14ac:dyDescent="0.2">
      <c r="A742" s="41" t="s">
        <v>153</v>
      </c>
      <c r="B742" s="117" t="s">
        <v>99</v>
      </c>
      <c r="C742" s="43"/>
      <c r="D742" s="44"/>
      <c r="E742" s="45"/>
      <c r="F742" s="46"/>
    </row>
    <row r="743" spans="1:6" x14ac:dyDescent="0.2">
      <c r="A743" s="48" t="s">
        <v>154</v>
      </c>
      <c r="B743" s="403" t="s">
        <v>102</v>
      </c>
      <c r="C743" s="404"/>
      <c r="D743" s="404"/>
      <c r="E743" s="404"/>
      <c r="F743" s="405"/>
    </row>
    <row r="744" spans="1:6" ht="15" thickBot="1" x14ac:dyDescent="0.25">
      <c r="A744" s="50" t="s">
        <v>156</v>
      </c>
      <c r="B744" s="51" t="s">
        <v>15</v>
      </c>
      <c r="C744" s="52"/>
      <c r="D744" s="53"/>
      <c r="E744" s="52"/>
      <c r="F744" s="54"/>
    </row>
    <row r="745" spans="1:6" x14ac:dyDescent="0.2">
      <c r="A745" s="55" t="s">
        <v>157</v>
      </c>
      <c r="B745" s="56"/>
      <c r="C745" s="57"/>
      <c r="D745" s="58"/>
      <c r="E745" s="59"/>
      <c r="F745" s="60"/>
    </row>
    <row r="746" spans="1:6" x14ac:dyDescent="0.2">
      <c r="A746" s="61" t="s">
        <v>158</v>
      </c>
      <c r="B746" s="62" t="s">
        <v>159</v>
      </c>
      <c r="C746" s="406" t="s">
        <v>160</v>
      </c>
      <c r="D746" s="407"/>
      <c r="E746" s="63" t="s">
        <v>161</v>
      </c>
      <c r="F746" s="64" t="s">
        <v>162</v>
      </c>
    </row>
    <row r="747" spans="1:6" x14ac:dyDescent="0.2">
      <c r="A747" s="65" t="s">
        <v>233</v>
      </c>
      <c r="B747" s="66" t="s">
        <v>189</v>
      </c>
      <c r="C747" s="120">
        <f>+Lista_prec_base!C35</f>
        <v>8496</v>
      </c>
      <c r="D747" s="68"/>
      <c r="E747" s="69">
        <v>2</v>
      </c>
      <c r="F747" s="70">
        <f>+C747/E747</f>
        <v>4248</v>
      </c>
    </row>
    <row r="748" spans="1:6" x14ac:dyDescent="0.2">
      <c r="A748" s="65"/>
      <c r="B748" s="66"/>
      <c r="C748" s="67"/>
      <c r="D748" s="68"/>
      <c r="E748" s="69"/>
      <c r="F748" s="70"/>
    </row>
    <row r="749" spans="1:6" x14ac:dyDescent="0.2">
      <c r="A749" s="65"/>
      <c r="B749" s="66"/>
      <c r="C749" s="67">
        <v>0</v>
      </c>
      <c r="D749" s="68"/>
      <c r="E749" s="71"/>
      <c r="F749" s="70">
        <v>0</v>
      </c>
    </row>
    <row r="750" spans="1:6" x14ac:dyDescent="0.2">
      <c r="A750" s="65"/>
      <c r="B750" s="66"/>
      <c r="C750" s="67">
        <v>0</v>
      </c>
      <c r="D750" s="68"/>
      <c r="E750" s="71"/>
      <c r="F750" s="70">
        <v>0</v>
      </c>
    </row>
    <row r="751" spans="1:6" ht="15" x14ac:dyDescent="0.25">
      <c r="A751" s="72"/>
      <c r="B751" s="73"/>
      <c r="C751" s="408" t="s">
        <v>163</v>
      </c>
      <c r="D751" s="408"/>
      <c r="E751" s="409"/>
      <c r="F751" s="74">
        <f>SUM(F747:F750)</f>
        <v>4248</v>
      </c>
    </row>
    <row r="752" spans="1:6" x14ac:dyDescent="0.2">
      <c r="A752" s="75" t="s">
        <v>164</v>
      </c>
      <c r="B752" s="76"/>
      <c r="C752" s="76"/>
      <c r="D752" s="77"/>
      <c r="E752" s="78"/>
      <c r="F752" s="79"/>
    </row>
    <row r="753" spans="1:9" x14ac:dyDescent="0.2">
      <c r="A753" s="61" t="s">
        <v>158</v>
      </c>
      <c r="B753" s="62" t="s">
        <v>159</v>
      </c>
      <c r="C753" s="406" t="s">
        <v>7</v>
      </c>
      <c r="D753" s="407"/>
      <c r="E753" s="63" t="s">
        <v>165</v>
      </c>
      <c r="F753" s="64" t="s">
        <v>162</v>
      </c>
    </row>
    <row r="754" spans="1:9" x14ac:dyDescent="0.2">
      <c r="A754" s="85">
        <v>0</v>
      </c>
      <c r="B754" s="66">
        <v>0</v>
      </c>
      <c r="C754" s="86"/>
      <c r="D754" s="82"/>
      <c r="E754" s="83">
        <v>0</v>
      </c>
      <c r="F754" s="84">
        <v>0</v>
      </c>
    </row>
    <row r="755" spans="1:9" x14ac:dyDescent="0.2">
      <c r="A755" s="85">
        <v>0</v>
      </c>
      <c r="B755" s="66">
        <v>0</v>
      </c>
      <c r="C755" s="86"/>
      <c r="D755" s="82"/>
      <c r="E755" s="83">
        <v>0</v>
      </c>
      <c r="F755" s="84">
        <v>0</v>
      </c>
    </row>
    <row r="756" spans="1:9" x14ac:dyDescent="0.2">
      <c r="A756" s="65">
        <v>0</v>
      </c>
      <c r="B756" s="66">
        <v>0</v>
      </c>
      <c r="C756" s="87"/>
      <c r="D756" s="82"/>
      <c r="E756" s="83">
        <v>0</v>
      </c>
      <c r="F756" s="84">
        <v>0</v>
      </c>
    </row>
    <row r="757" spans="1:9" x14ac:dyDescent="0.2">
      <c r="A757" s="65">
        <v>0</v>
      </c>
      <c r="B757" s="66">
        <v>0</v>
      </c>
      <c r="C757" s="87"/>
      <c r="D757" s="82"/>
      <c r="E757" s="83">
        <v>0</v>
      </c>
      <c r="F757" s="84">
        <v>0</v>
      </c>
    </row>
    <row r="758" spans="1:9" x14ac:dyDescent="0.2">
      <c r="A758" s="65">
        <v>0</v>
      </c>
      <c r="B758" s="66">
        <v>0</v>
      </c>
      <c r="C758" s="87"/>
      <c r="D758" s="82"/>
      <c r="E758" s="83">
        <v>0</v>
      </c>
      <c r="F758" s="84">
        <v>0</v>
      </c>
    </row>
    <row r="759" spans="1:9" ht="15" x14ac:dyDescent="0.25">
      <c r="A759" s="72"/>
      <c r="B759" s="73"/>
      <c r="C759" s="408" t="s">
        <v>167</v>
      </c>
      <c r="D759" s="408"/>
      <c r="E759" s="409"/>
      <c r="F759" s="74">
        <f>+F754</f>
        <v>0</v>
      </c>
    </row>
    <row r="760" spans="1:9" x14ac:dyDescent="0.2">
      <c r="A760" s="72" t="s">
        <v>168</v>
      </c>
      <c r="B760" s="73"/>
      <c r="C760" s="73"/>
      <c r="D760" s="88"/>
      <c r="E760" s="89"/>
      <c r="F760" s="90"/>
    </row>
    <row r="761" spans="1:9" x14ac:dyDescent="0.2">
      <c r="A761" s="61" t="s">
        <v>158</v>
      </c>
      <c r="B761" s="62" t="s">
        <v>159</v>
      </c>
      <c r="C761" s="62" t="s">
        <v>169</v>
      </c>
      <c r="D761" s="91" t="s">
        <v>170</v>
      </c>
      <c r="E761" s="63" t="s">
        <v>161</v>
      </c>
      <c r="F761" s="64" t="s">
        <v>171</v>
      </c>
    </row>
    <row r="762" spans="1:9" x14ac:dyDescent="0.2">
      <c r="A762" s="65" t="s">
        <v>190</v>
      </c>
      <c r="B762" s="92" t="s">
        <v>191</v>
      </c>
      <c r="C762" s="93">
        <v>1.65</v>
      </c>
      <c r="D762" s="94">
        <f>+Lista_prec_base!C43</f>
        <v>67000</v>
      </c>
      <c r="E762" s="95">
        <v>1.3518817856314758</v>
      </c>
      <c r="F762" s="70">
        <f>+C762*D762/E762</f>
        <v>81774.901603812294</v>
      </c>
    </row>
    <row r="763" spans="1:9" x14ac:dyDescent="0.2">
      <c r="A763" s="65">
        <v>0</v>
      </c>
      <c r="B763" s="92">
        <v>0</v>
      </c>
      <c r="C763" s="93"/>
      <c r="D763" s="94">
        <v>0</v>
      </c>
      <c r="E763" s="96"/>
      <c r="F763" s="97">
        <v>0</v>
      </c>
    </row>
    <row r="764" spans="1:9" x14ac:dyDescent="0.2">
      <c r="A764" s="65">
        <v>0</v>
      </c>
      <c r="B764" s="92">
        <v>0</v>
      </c>
      <c r="C764" s="93"/>
      <c r="D764" s="94">
        <v>0</v>
      </c>
      <c r="E764" s="96"/>
      <c r="F764" s="97">
        <v>0</v>
      </c>
      <c r="I764" s="119"/>
    </row>
    <row r="765" spans="1:9" ht="15" x14ac:dyDescent="0.25">
      <c r="A765" s="72"/>
      <c r="B765" s="73"/>
      <c r="C765" s="408" t="s">
        <v>172</v>
      </c>
      <c r="D765" s="408"/>
      <c r="E765" s="409"/>
      <c r="F765" s="74">
        <f>+F762</f>
        <v>81774.901603812294</v>
      </c>
      <c r="H765" s="199">
        <f>+F765/F772</f>
        <v>0.95061780152959008</v>
      </c>
    </row>
    <row r="766" spans="1:9" x14ac:dyDescent="0.2">
      <c r="A766" s="75" t="s">
        <v>173</v>
      </c>
      <c r="B766" s="76"/>
      <c r="C766" s="76"/>
      <c r="D766" s="77"/>
      <c r="E766" s="78"/>
      <c r="F766" s="79"/>
    </row>
    <row r="767" spans="1:9" x14ac:dyDescent="0.2">
      <c r="A767" s="61" t="s">
        <v>158</v>
      </c>
      <c r="B767" s="62" t="s">
        <v>159</v>
      </c>
      <c r="C767" s="62" t="s">
        <v>174</v>
      </c>
      <c r="D767" s="98" t="s">
        <v>175</v>
      </c>
      <c r="E767" s="63" t="s">
        <v>165</v>
      </c>
      <c r="F767" s="64" t="s">
        <v>162</v>
      </c>
    </row>
    <row r="768" spans="1:9" x14ac:dyDescent="0.2">
      <c r="A768" s="65">
        <v>0</v>
      </c>
      <c r="B768" s="66">
        <v>0</v>
      </c>
      <c r="C768" s="99"/>
      <c r="D768" s="81"/>
      <c r="E768" s="83">
        <v>0</v>
      </c>
      <c r="F768" s="84">
        <v>0</v>
      </c>
    </row>
    <row r="769" spans="1:6" x14ac:dyDescent="0.2">
      <c r="A769" s="65">
        <v>0</v>
      </c>
      <c r="B769" s="66">
        <v>0</v>
      </c>
      <c r="C769" s="99"/>
      <c r="D769" s="81"/>
      <c r="E769" s="83">
        <v>0</v>
      </c>
      <c r="F769" s="84">
        <v>0</v>
      </c>
    </row>
    <row r="770" spans="1:6" ht="15" x14ac:dyDescent="0.25">
      <c r="A770" s="72"/>
      <c r="B770" s="73"/>
      <c r="C770" s="408" t="s">
        <v>176</v>
      </c>
      <c r="D770" s="408"/>
      <c r="E770" s="409"/>
      <c r="F770" s="74">
        <v>0</v>
      </c>
    </row>
    <row r="771" spans="1:6" ht="15" thickBot="1" x14ac:dyDescent="0.25">
      <c r="A771" s="75"/>
      <c r="B771" s="76"/>
      <c r="C771" s="76"/>
      <c r="D771" s="77"/>
      <c r="E771" s="78"/>
      <c r="F771" s="79"/>
    </row>
    <row r="772" spans="1:6" ht="15.75" thickBot="1" x14ac:dyDescent="0.3">
      <c r="A772" s="100" t="s">
        <v>177</v>
      </c>
      <c r="B772" s="101"/>
      <c r="C772" s="101"/>
      <c r="D772" s="101"/>
      <c r="E772" s="102"/>
      <c r="F772" s="103">
        <f>+F765+F751+F759</f>
        <v>86022.901603812294</v>
      </c>
    </row>
    <row r="773" spans="1:6" ht="15" x14ac:dyDescent="0.25">
      <c r="A773" s="104" t="s">
        <v>178</v>
      </c>
      <c r="B773" s="105"/>
      <c r="C773" s="105"/>
      <c r="D773" s="105"/>
      <c r="E773" s="105"/>
      <c r="F773" s="106" t="s">
        <v>179</v>
      </c>
    </row>
    <row r="774" spans="1:6" x14ac:dyDescent="0.2">
      <c r="A774" s="399" t="s">
        <v>158</v>
      </c>
      <c r="B774" s="400"/>
      <c r="C774" s="400"/>
      <c r="D774" s="400"/>
      <c r="E774" s="107" t="s">
        <v>144</v>
      </c>
      <c r="F774" s="108"/>
    </row>
    <row r="775" spans="1:6" x14ac:dyDescent="0.2">
      <c r="A775" s="399" t="s">
        <v>180</v>
      </c>
      <c r="B775" s="400"/>
      <c r="C775" s="400"/>
      <c r="D775" s="400"/>
      <c r="E775" s="109">
        <v>0.23</v>
      </c>
      <c r="F775" s="108">
        <f>+E775*F772</f>
        <v>19785.26736887683</v>
      </c>
    </row>
    <row r="776" spans="1:6" x14ac:dyDescent="0.2">
      <c r="A776" s="399" t="s">
        <v>181</v>
      </c>
      <c r="B776" s="400"/>
      <c r="C776" s="400"/>
      <c r="D776" s="400"/>
      <c r="E776" s="109">
        <v>0.02</v>
      </c>
      <c r="F776" s="108">
        <f>+E776*F772</f>
        <v>1720.4580320762459</v>
      </c>
    </row>
    <row r="777" spans="1:6" x14ac:dyDescent="0.2">
      <c r="A777" s="399" t="s">
        <v>182</v>
      </c>
      <c r="B777" s="400"/>
      <c r="C777" s="400"/>
      <c r="D777" s="400"/>
      <c r="E777" s="109">
        <v>0.05</v>
      </c>
      <c r="F777" s="108">
        <f>+E777*F772</f>
        <v>4301.1450801906149</v>
      </c>
    </row>
    <row r="778" spans="1:6" x14ac:dyDescent="0.2">
      <c r="A778" s="110" t="s">
        <v>183</v>
      </c>
      <c r="B778" s="111"/>
      <c r="C778" s="111"/>
      <c r="D778" s="111"/>
      <c r="E778" s="109"/>
      <c r="F778" s="108">
        <v>0</v>
      </c>
    </row>
    <row r="779" spans="1:6" ht="15" x14ac:dyDescent="0.2">
      <c r="A779" s="112"/>
      <c r="B779" s="113"/>
      <c r="C779" s="113"/>
      <c r="D779" s="113"/>
      <c r="E779" s="114" t="s">
        <v>184</v>
      </c>
      <c r="F779" s="115">
        <f>+F775+F776+F777</f>
        <v>25806.870481143691</v>
      </c>
    </row>
    <row r="780" spans="1:6" ht="15.75" thickBot="1" x14ac:dyDescent="0.3">
      <c r="A780" s="401" t="s">
        <v>185</v>
      </c>
      <c r="B780" s="402"/>
      <c r="C780" s="402"/>
      <c r="D780" s="402"/>
      <c r="E780" s="402"/>
      <c r="F780" s="116">
        <f>+F772+F779</f>
        <v>111829.77208495598</v>
      </c>
    </row>
    <row r="781" spans="1:6" x14ac:dyDescent="0.2">
      <c r="A781" s="41" t="s">
        <v>153</v>
      </c>
      <c r="B781" s="117" t="s">
        <v>101</v>
      </c>
      <c r="C781" s="43"/>
      <c r="D781" s="44"/>
      <c r="E781" s="45"/>
      <c r="F781" s="46"/>
    </row>
    <row r="782" spans="1:6" x14ac:dyDescent="0.2">
      <c r="A782" s="48" t="s">
        <v>154</v>
      </c>
      <c r="B782" s="403" t="s">
        <v>100</v>
      </c>
      <c r="C782" s="404"/>
      <c r="D782" s="404"/>
      <c r="E782" s="404"/>
      <c r="F782" s="405"/>
    </row>
    <row r="783" spans="1:6" ht="15" thickBot="1" x14ac:dyDescent="0.25">
      <c r="A783" s="50" t="s">
        <v>156</v>
      </c>
      <c r="B783" s="51" t="s">
        <v>15</v>
      </c>
      <c r="C783" s="52"/>
      <c r="D783" s="53"/>
      <c r="E783" s="52"/>
      <c r="F783" s="54"/>
    </row>
    <row r="784" spans="1:6" x14ac:dyDescent="0.2">
      <c r="A784" s="55" t="s">
        <v>157</v>
      </c>
      <c r="B784" s="56"/>
      <c r="C784" s="57"/>
      <c r="D784" s="58"/>
      <c r="E784" s="59"/>
      <c r="F784" s="60"/>
    </row>
    <row r="785" spans="1:6" x14ac:dyDescent="0.2">
      <c r="A785" s="61" t="s">
        <v>158</v>
      </c>
      <c r="B785" s="62" t="s">
        <v>159</v>
      </c>
      <c r="C785" s="406" t="s">
        <v>160</v>
      </c>
      <c r="D785" s="407"/>
      <c r="E785" s="63" t="s">
        <v>161</v>
      </c>
      <c r="F785" s="64" t="s">
        <v>162</v>
      </c>
    </row>
    <row r="786" spans="1:6" x14ac:dyDescent="0.2">
      <c r="A786" s="65" t="s">
        <v>233</v>
      </c>
      <c r="B786" s="66" t="s">
        <v>189</v>
      </c>
      <c r="C786" s="120">
        <f>+Lista_prec_base!C35</f>
        <v>8496</v>
      </c>
      <c r="D786" s="68"/>
      <c r="E786" s="69">
        <v>2</v>
      </c>
      <c r="F786" s="70">
        <f>+C786/E786</f>
        <v>4248</v>
      </c>
    </row>
    <row r="787" spans="1:6" x14ac:dyDescent="0.2">
      <c r="A787" s="65"/>
      <c r="B787" s="66"/>
      <c r="C787" s="67"/>
      <c r="D787" s="68"/>
      <c r="E787" s="69"/>
      <c r="F787" s="70"/>
    </row>
    <row r="788" spans="1:6" x14ac:dyDescent="0.2">
      <c r="A788" s="65"/>
      <c r="B788" s="66"/>
      <c r="C788" s="67">
        <v>0</v>
      </c>
      <c r="D788" s="68"/>
      <c r="E788" s="71"/>
      <c r="F788" s="70">
        <v>0</v>
      </c>
    </row>
    <row r="789" spans="1:6" x14ac:dyDescent="0.2">
      <c r="A789" s="65"/>
      <c r="B789" s="66"/>
      <c r="C789" s="67">
        <v>0</v>
      </c>
      <c r="D789" s="68"/>
      <c r="E789" s="71"/>
      <c r="F789" s="70">
        <v>0</v>
      </c>
    </row>
    <row r="790" spans="1:6" ht="15" x14ac:dyDescent="0.25">
      <c r="A790" s="72"/>
      <c r="B790" s="73"/>
      <c r="C790" s="408" t="s">
        <v>163</v>
      </c>
      <c r="D790" s="408"/>
      <c r="E790" s="409"/>
      <c r="F790" s="74">
        <f>SUM(F786:F789)</f>
        <v>4248</v>
      </c>
    </row>
    <row r="791" spans="1:6" x14ac:dyDescent="0.2">
      <c r="A791" s="75" t="s">
        <v>164</v>
      </c>
      <c r="B791" s="76"/>
      <c r="C791" s="76"/>
      <c r="D791" s="77"/>
      <c r="E791" s="78"/>
      <c r="F791" s="79"/>
    </row>
    <row r="792" spans="1:6" x14ac:dyDescent="0.2">
      <c r="A792" s="61" t="s">
        <v>158</v>
      </c>
      <c r="B792" s="62" t="s">
        <v>159</v>
      </c>
      <c r="C792" s="406" t="s">
        <v>7</v>
      </c>
      <c r="D792" s="407"/>
      <c r="E792" s="63" t="s">
        <v>165</v>
      </c>
      <c r="F792" s="64" t="s">
        <v>162</v>
      </c>
    </row>
    <row r="793" spans="1:6" x14ac:dyDescent="0.2">
      <c r="A793" s="85">
        <v>0</v>
      </c>
      <c r="B793" s="66">
        <v>0</v>
      </c>
      <c r="C793" s="86"/>
      <c r="D793" s="82"/>
      <c r="E793" s="83">
        <v>0</v>
      </c>
      <c r="F793" s="84">
        <v>0</v>
      </c>
    </row>
    <row r="794" spans="1:6" x14ac:dyDescent="0.2">
      <c r="A794" s="85">
        <v>0</v>
      </c>
      <c r="B794" s="66">
        <v>0</v>
      </c>
      <c r="C794" s="86"/>
      <c r="D794" s="82"/>
      <c r="E794" s="83">
        <v>0</v>
      </c>
      <c r="F794" s="84">
        <v>0</v>
      </c>
    </row>
    <row r="795" spans="1:6" x14ac:dyDescent="0.2">
      <c r="A795" s="65">
        <v>0</v>
      </c>
      <c r="B795" s="66">
        <v>0</v>
      </c>
      <c r="C795" s="87"/>
      <c r="D795" s="82"/>
      <c r="E795" s="83">
        <v>0</v>
      </c>
      <c r="F795" s="84">
        <v>0</v>
      </c>
    </row>
    <row r="796" spans="1:6" x14ac:dyDescent="0.2">
      <c r="A796" s="65">
        <v>0</v>
      </c>
      <c r="B796" s="66">
        <v>0</v>
      </c>
      <c r="C796" s="87"/>
      <c r="D796" s="82"/>
      <c r="E796" s="83">
        <v>0</v>
      </c>
      <c r="F796" s="84">
        <v>0</v>
      </c>
    </row>
    <row r="797" spans="1:6" x14ac:dyDescent="0.2">
      <c r="A797" s="65">
        <v>0</v>
      </c>
      <c r="B797" s="66">
        <v>0</v>
      </c>
      <c r="C797" s="87"/>
      <c r="D797" s="82"/>
      <c r="E797" s="83">
        <v>0</v>
      </c>
      <c r="F797" s="84">
        <v>0</v>
      </c>
    </row>
    <row r="798" spans="1:6" ht="15" x14ac:dyDescent="0.25">
      <c r="A798" s="72"/>
      <c r="B798" s="73"/>
      <c r="C798" s="408" t="s">
        <v>167</v>
      </c>
      <c r="D798" s="408"/>
      <c r="E798" s="409"/>
      <c r="F798" s="74">
        <f>+F793</f>
        <v>0</v>
      </c>
    </row>
    <row r="799" spans="1:6" x14ac:dyDescent="0.2">
      <c r="A799" s="72" t="s">
        <v>168</v>
      </c>
      <c r="B799" s="73"/>
      <c r="C799" s="73"/>
      <c r="D799" s="88"/>
      <c r="E799" s="89"/>
      <c r="F799" s="90"/>
    </row>
    <row r="800" spans="1:6" x14ac:dyDescent="0.2">
      <c r="A800" s="61" t="s">
        <v>158</v>
      </c>
      <c r="B800" s="62" t="s">
        <v>159</v>
      </c>
      <c r="C800" s="62" t="s">
        <v>169</v>
      </c>
      <c r="D800" s="91" t="s">
        <v>170</v>
      </c>
      <c r="E800" s="63" t="s">
        <v>161</v>
      </c>
      <c r="F800" s="64" t="s">
        <v>171</v>
      </c>
    </row>
    <row r="801" spans="1:9" x14ac:dyDescent="0.2">
      <c r="A801" s="65" t="s">
        <v>190</v>
      </c>
      <c r="B801" s="92" t="s">
        <v>191</v>
      </c>
      <c r="C801" s="93">
        <v>1.65</v>
      </c>
      <c r="D801" s="94">
        <f>+Lista_prec_base!C43</f>
        <v>67000</v>
      </c>
      <c r="E801" s="95">
        <v>0.56704873830143265</v>
      </c>
      <c r="F801" s="70">
        <f>+C801*D801/E801</f>
        <v>194956.78683837166</v>
      </c>
    </row>
    <row r="802" spans="1:9" x14ac:dyDescent="0.2">
      <c r="A802" s="65">
        <v>0</v>
      </c>
      <c r="B802" s="92">
        <v>0</v>
      </c>
      <c r="C802" s="93"/>
      <c r="D802" s="94">
        <v>0</v>
      </c>
      <c r="E802" s="96"/>
      <c r="F802" s="97">
        <v>0</v>
      </c>
    </row>
    <row r="803" spans="1:9" x14ac:dyDescent="0.2">
      <c r="A803" s="65">
        <v>0</v>
      </c>
      <c r="B803" s="92">
        <v>0</v>
      </c>
      <c r="C803" s="93"/>
      <c r="D803" s="94">
        <v>0</v>
      </c>
      <c r="E803" s="96"/>
      <c r="F803" s="97">
        <v>0</v>
      </c>
      <c r="I803" s="119"/>
    </row>
    <row r="804" spans="1:9" ht="15" x14ac:dyDescent="0.25">
      <c r="A804" s="72"/>
      <c r="B804" s="73"/>
      <c r="C804" s="408" t="s">
        <v>172</v>
      </c>
      <c r="D804" s="408"/>
      <c r="E804" s="409"/>
      <c r="F804" s="74">
        <f>+F801</f>
        <v>194956.78683837166</v>
      </c>
    </row>
    <row r="805" spans="1:9" x14ac:dyDescent="0.2">
      <c r="A805" s="75" t="s">
        <v>173</v>
      </c>
      <c r="B805" s="76"/>
      <c r="C805" s="76"/>
      <c r="D805" s="77"/>
      <c r="E805" s="78"/>
      <c r="F805" s="79"/>
    </row>
    <row r="806" spans="1:9" x14ac:dyDescent="0.2">
      <c r="A806" s="61" t="s">
        <v>158</v>
      </c>
      <c r="B806" s="62" t="s">
        <v>159</v>
      </c>
      <c r="C806" s="62" t="s">
        <v>174</v>
      </c>
      <c r="D806" s="98" t="s">
        <v>175</v>
      </c>
      <c r="E806" s="63" t="s">
        <v>165</v>
      </c>
      <c r="F806" s="64" t="s">
        <v>162</v>
      </c>
    </row>
    <row r="807" spans="1:9" x14ac:dyDescent="0.2">
      <c r="A807" s="65">
        <v>0</v>
      </c>
      <c r="B807" s="66">
        <v>0</v>
      </c>
      <c r="C807" s="99"/>
      <c r="D807" s="81"/>
      <c r="E807" s="83">
        <v>0</v>
      </c>
      <c r="F807" s="84">
        <v>0</v>
      </c>
    </row>
    <row r="808" spans="1:9" x14ac:dyDescent="0.2">
      <c r="A808" s="65">
        <v>0</v>
      </c>
      <c r="B808" s="66">
        <v>0</v>
      </c>
      <c r="C808" s="99"/>
      <c r="D808" s="81"/>
      <c r="E808" s="83">
        <v>0</v>
      </c>
      <c r="F808" s="84">
        <v>0</v>
      </c>
    </row>
    <row r="809" spans="1:9" ht="15" x14ac:dyDescent="0.25">
      <c r="A809" s="72"/>
      <c r="B809" s="73"/>
      <c r="C809" s="408" t="s">
        <v>176</v>
      </c>
      <c r="D809" s="408"/>
      <c r="E809" s="409"/>
      <c r="F809" s="74">
        <v>0</v>
      </c>
    </row>
    <row r="810" spans="1:9" ht="15" thickBot="1" x14ac:dyDescent="0.25">
      <c r="A810" s="75"/>
      <c r="B810" s="76"/>
      <c r="C810" s="76"/>
      <c r="D810" s="77"/>
      <c r="E810" s="78"/>
      <c r="F810" s="79"/>
    </row>
    <row r="811" spans="1:9" ht="15.75" thickBot="1" x14ac:dyDescent="0.3">
      <c r="A811" s="100" t="s">
        <v>177</v>
      </c>
      <c r="B811" s="101"/>
      <c r="C811" s="101"/>
      <c r="D811" s="101"/>
      <c r="E811" s="102"/>
      <c r="F811" s="103">
        <f>+F804+F790+F798</f>
        <v>199204.78683837166</v>
      </c>
    </row>
    <row r="812" spans="1:9" ht="15" x14ac:dyDescent="0.25">
      <c r="A812" s="104" t="s">
        <v>178</v>
      </c>
      <c r="B812" s="105"/>
      <c r="C812" s="105"/>
      <c r="D812" s="105"/>
      <c r="E812" s="105"/>
      <c r="F812" s="106" t="s">
        <v>179</v>
      </c>
    </row>
    <row r="813" spans="1:9" x14ac:dyDescent="0.2">
      <c r="A813" s="399" t="s">
        <v>158</v>
      </c>
      <c r="B813" s="400"/>
      <c r="C813" s="400"/>
      <c r="D813" s="400"/>
      <c r="E813" s="107" t="s">
        <v>144</v>
      </c>
      <c r="F813" s="108"/>
    </row>
    <row r="814" spans="1:9" x14ac:dyDescent="0.2">
      <c r="A814" s="399" t="s">
        <v>180</v>
      </c>
      <c r="B814" s="400"/>
      <c r="C814" s="400"/>
      <c r="D814" s="400"/>
      <c r="E814" s="109">
        <v>0.23</v>
      </c>
      <c r="F814" s="108">
        <f>+E814*F811</f>
        <v>45817.100972825479</v>
      </c>
    </row>
    <row r="815" spans="1:9" x14ac:dyDescent="0.2">
      <c r="A815" s="399" t="s">
        <v>181</v>
      </c>
      <c r="B815" s="400"/>
      <c r="C815" s="400"/>
      <c r="D815" s="400"/>
      <c r="E815" s="109">
        <v>0.02</v>
      </c>
      <c r="F815" s="108">
        <f>+E815*F811</f>
        <v>3984.0957367674332</v>
      </c>
    </row>
    <row r="816" spans="1:9" x14ac:dyDescent="0.2">
      <c r="A816" s="399" t="s">
        <v>182</v>
      </c>
      <c r="B816" s="400"/>
      <c r="C816" s="400"/>
      <c r="D816" s="400"/>
      <c r="E816" s="109">
        <v>0.05</v>
      </c>
      <c r="F816" s="108">
        <f>+E816*F811</f>
        <v>9960.2393419185828</v>
      </c>
    </row>
    <row r="817" spans="1:6" x14ac:dyDescent="0.2">
      <c r="A817" s="110" t="s">
        <v>183</v>
      </c>
      <c r="B817" s="111"/>
      <c r="C817" s="111"/>
      <c r="D817" s="111"/>
      <c r="E817" s="109"/>
      <c r="F817" s="108">
        <v>0</v>
      </c>
    </row>
    <row r="818" spans="1:6" ht="15" x14ac:dyDescent="0.2">
      <c r="A818" s="112"/>
      <c r="B818" s="113"/>
      <c r="C818" s="113"/>
      <c r="D818" s="113"/>
      <c r="E818" s="114" t="s">
        <v>184</v>
      </c>
      <c r="F818" s="115">
        <f>+F814+F815+F816</f>
        <v>59761.436051511497</v>
      </c>
    </row>
    <row r="819" spans="1:6" ht="15.75" thickBot="1" x14ac:dyDescent="0.3">
      <c r="A819" s="401" t="s">
        <v>185</v>
      </c>
      <c r="B819" s="402"/>
      <c r="C819" s="402"/>
      <c r="D819" s="402"/>
      <c r="E819" s="402"/>
      <c r="F819" s="116">
        <f>+F811+F818</f>
        <v>258966.22288988315</v>
      </c>
    </row>
    <row r="820" spans="1:6" x14ac:dyDescent="0.2">
      <c r="A820" s="41" t="s">
        <v>153</v>
      </c>
      <c r="B820" s="117" t="s">
        <v>103</v>
      </c>
      <c r="C820" s="43"/>
      <c r="D820" s="44"/>
      <c r="E820" s="45"/>
      <c r="F820" s="46"/>
    </row>
    <row r="821" spans="1:6" x14ac:dyDescent="0.2">
      <c r="A821" s="48" t="s">
        <v>154</v>
      </c>
      <c r="B821" s="403" t="s">
        <v>105</v>
      </c>
      <c r="C821" s="404"/>
      <c r="D821" s="404"/>
      <c r="E821" s="404"/>
      <c r="F821" s="405"/>
    </row>
    <row r="822" spans="1:6" ht="15" thickBot="1" x14ac:dyDescent="0.25">
      <c r="A822" s="50" t="s">
        <v>156</v>
      </c>
      <c r="B822" s="51" t="s">
        <v>88</v>
      </c>
      <c r="C822" s="52"/>
      <c r="D822" s="53"/>
      <c r="E822" s="52"/>
      <c r="F822" s="54"/>
    </row>
    <row r="823" spans="1:6" x14ac:dyDescent="0.2">
      <c r="A823" s="55" t="s">
        <v>157</v>
      </c>
      <c r="B823" s="56"/>
      <c r="C823" s="57"/>
      <c r="D823" s="58"/>
      <c r="E823" s="59"/>
      <c r="F823" s="60"/>
    </row>
    <row r="824" spans="1:6" x14ac:dyDescent="0.2">
      <c r="A824" s="61" t="s">
        <v>158</v>
      </c>
      <c r="B824" s="62" t="s">
        <v>159</v>
      </c>
      <c r="C824" s="406" t="s">
        <v>160</v>
      </c>
      <c r="D824" s="407"/>
      <c r="E824" s="63" t="s">
        <v>161</v>
      </c>
      <c r="F824" s="64" t="s">
        <v>162</v>
      </c>
    </row>
    <row r="825" spans="1:6" x14ac:dyDescent="0.2">
      <c r="A825" s="65" t="s">
        <v>233</v>
      </c>
      <c r="B825" s="66" t="s">
        <v>189</v>
      </c>
      <c r="C825" s="120">
        <f>+Lista_prec_base!C35</f>
        <v>8496</v>
      </c>
      <c r="D825" s="68"/>
      <c r="E825" s="69">
        <v>2</v>
      </c>
      <c r="F825" s="70">
        <f>+C825/E825</f>
        <v>4248</v>
      </c>
    </row>
    <row r="826" spans="1:6" x14ac:dyDescent="0.2">
      <c r="A826" s="65"/>
      <c r="B826" s="66"/>
      <c r="C826" s="67"/>
      <c r="D826" s="68"/>
      <c r="E826" s="69"/>
      <c r="F826" s="70"/>
    </row>
    <row r="827" spans="1:6" x14ac:dyDescent="0.2">
      <c r="A827" s="65"/>
      <c r="B827" s="66"/>
      <c r="C827" s="67">
        <v>0</v>
      </c>
      <c r="D827" s="68"/>
      <c r="E827" s="71"/>
      <c r="F827" s="70">
        <v>0</v>
      </c>
    </row>
    <row r="828" spans="1:6" x14ac:dyDescent="0.2">
      <c r="A828" s="65"/>
      <c r="B828" s="66"/>
      <c r="C828" s="67">
        <v>0</v>
      </c>
      <c r="D828" s="68"/>
      <c r="E828" s="71"/>
      <c r="F828" s="70">
        <v>0</v>
      </c>
    </row>
    <row r="829" spans="1:6" ht="15" x14ac:dyDescent="0.25">
      <c r="A829" s="72"/>
      <c r="B829" s="73"/>
      <c r="C829" s="408" t="s">
        <v>163</v>
      </c>
      <c r="D829" s="408"/>
      <c r="E829" s="409"/>
      <c r="F829" s="74">
        <f>SUM(F825:F828)</f>
        <v>4248</v>
      </c>
    </row>
    <row r="830" spans="1:6" x14ac:dyDescent="0.2">
      <c r="A830" s="75" t="s">
        <v>164</v>
      </c>
      <c r="B830" s="76"/>
      <c r="C830" s="76"/>
      <c r="D830" s="77"/>
      <c r="E830" s="78"/>
      <c r="F830" s="79"/>
    </row>
    <row r="831" spans="1:6" x14ac:dyDescent="0.2">
      <c r="A831" s="61" t="s">
        <v>158</v>
      </c>
      <c r="B831" s="62" t="s">
        <v>159</v>
      </c>
      <c r="C831" s="406" t="s">
        <v>7</v>
      </c>
      <c r="D831" s="407"/>
      <c r="E831" s="63" t="s">
        <v>165</v>
      </c>
      <c r="F831" s="64" t="s">
        <v>162</v>
      </c>
    </row>
    <row r="832" spans="1:6" ht="25.5" x14ac:dyDescent="0.2">
      <c r="A832" s="85" t="s">
        <v>234</v>
      </c>
      <c r="B832" s="66" t="s">
        <v>196</v>
      </c>
      <c r="C832" s="86">
        <v>1</v>
      </c>
      <c r="D832" s="82"/>
      <c r="E832" s="83">
        <f>+Lista_prec_base!C19</f>
        <v>80000</v>
      </c>
      <c r="F832" s="84">
        <f>+E832*C832</f>
        <v>80000</v>
      </c>
    </row>
    <row r="833" spans="1:9" x14ac:dyDescent="0.2">
      <c r="A833" s="85">
        <v>0</v>
      </c>
      <c r="B833" s="66">
        <v>0</v>
      </c>
      <c r="C833" s="86"/>
      <c r="D833" s="82"/>
      <c r="E833" s="83">
        <v>0</v>
      </c>
      <c r="F833" s="84">
        <v>0</v>
      </c>
    </row>
    <row r="834" spans="1:9" x14ac:dyDescent="0.2">
      <c r="A834" s="65">
        <v>0</v>
      </c>
      <c r="B834" s="66">
        <v>0</v>
      </c>
      <c r="C834" s="87"/>
      <c r="D834" s="82"/>
      <c r="E834" s="83">
        <v>0</v>
      </c>
      <c r="F834" s="84">
        <v>0</v>
      </c>
    </row>
    <row r="835" spans="1:9" x14ac:dyDescent="0.2">
      <c r="A835" s="65">
        <v>0</v>
      </c>
      <c r="B835" s="66">
        <v>0</v>
      </c>
      <c r="C835" s="87"/>
      <c r="D835" s="82"/>
      <c r="E835" s="83">
        <v>0</v>
      </c>
      <c r="F835" s="84">
        <v>0</v>
      </c>
    </row>
    <row r="836" spans="1:9" x14ac:dyDescent="0.2">
      <c r="A836" s="65">
        <v>0</v>
      </c>
      <c r="B836" s="66">
        <v>0</v>
      </c>
      <c r="C836" s="87"/>
      <c r="D836" s="82"/>
      <c r="E836" s="83">
        <v>0</v>
      </c>
      <c r="F836" s="84">
        <v>0</v>
      </c>
    </row>
    <row r="837" spans="1:9" ht="15" x14ac:dyDescent="0.25">
      <c r="A837" s="72"/>
      <c r="B837" s="73"/>
      <c r="C837" s="408" t="s">
        <v>167</v>
      </c>
      <c r="D837" s="408"/>
      <c r="E837" s="409"/>
      <c r="F837" s="74">
        <f>+F832</f>
        <v>80000</v>
      </c>
    </row>
    <row r="838" spans="1:9" x14ac:dyDescent="0.2">
      <c r="A838" s="72" t="s">
        <v>168</v>
      </c>
      <c r="B838" s="73"/>
      <c r="C838" s="73"/>
      <c r="D838" s="88"/>
      <c r="E838" s="89"/>
      <c r="F838" s="90"/>
    </row>
    <row r="839" spans="1:9" x14ac:dyDescent="0.2">
      <c r="A839" s="61" t="s">
        <v>158</v>
      </c>
      <c r="B839" s="62" t="s">
        <v>159</v>
      </c>
      <c r="C839" s="62" t="s">
        <v>169</v>
      </c>
      <c r="D839" s="91" t="s">
        <v>170</v>
      </c>
      <c r="E839" s="63" t="s">
        <v>161</v>
      </c>
      <c r="F839" s="64" t="s">
        <v>171</v>
      </c>
    </row>
    <row r="840" spans="1:9" x14ac:dyDescent="0.2">
      <c r="A840" s="65" t="s">
        <v>190</v>
      </c>
      <c r="B840" s="92" t="s">
        <v>191</v>
      </c>
      <c r="C840" s="93">
        <v>1.65</v>
      </c>
      <c r="D840" s="94">
        <f>+Lista_prec_base!C43</f>
        <v>67000</v>
      </c>
      <c r="E840" s="95">
        <v>10</v>
      </c>
      <c r="F840" s="70">
        <f>+C840*D840/E840</f>
        <v>11055</v>
      </c>
    </row>
    <row r="841" spans="1:9" x14ac:dyDescent="0.2">
      <c r="A841" s="65">
        <v>0</v>
      </c>
      <c r="B841" s="92">
        <v>0</v>
      </c>
      <c r="C841" s="93"/>
      <c r="D841" s="94">
        <v>0</v>
      </c>
      <c r="E841" s="96"/>
      <c r="F841" s="97">
        <v>0</v>
      </c>
    </row>
    <row r="842" spans="1:9" x14ac:dyDescent="0.2">
      <c r="A842" s="65">
        <v>0</v>
      </c>
      <c r="B842" s="92">
        <v>0</v>
      </c>
      <c r="C842" s="93"/>
      <c r="D842" s="94">
        <v>0</v>
      </c>
      <c r="E842" s="96"/>
      <c r="F842" s="97">
        <v>0</v>
      </c>
      <c r="I842" s="119"/>
    </row>
    <row r="843" spans="1:9" ht="15" x14ac:dyDescent="0.25">
      <c r="A843" s="72"/>
      <c r="B843" s="73"/>
      <c r="C843" s="408" t="s">
        <v>172</v>
      </c>
      <c r="D843" s="408"/>
      <c r="E843" s="409"/>
      <c r="F843" s="74">
        <f>+F840</f>
        <v>11055</v>
      </c>
    </row>
    <row r="844" spans="1:9" x14ac:dyDescent="0.2">
      <c r="A844" s="75" t="s">
        <v>173</v>
      </c>
      <c r="B844" s="76"/>
      <c r="C844" s="76"/>
      <c r="D844" s="77"/>
      <c r="E844" s="78"/>
      <c r="F844" s="79"/>
    </row>
    <row r="845" spans="1:9" x14ac:dyDescent="0.2">
      <c r="A845" s="61" t="s">
        <v>158</v>
      </c>
      <c r="B845" s="62" t="s">
        <v>159</v>
      </c>
      <c r="C845" s="62" t="s">
        <v>174</v>
      </c>
      <c r="D845" s="98" t="s">
        <v>175</v>
      </c>
      <c r="E845" s="63" t="s">
        <v>165</v>
      </c>
      <c r="F845" s="64" t="s">
        <v>162</v>
      </c>
    </row>
    <row r="846" spans="1:9" x14ac:dyDescent="0.2">
      <c r="A846" s="65">
        <v>0</v>
      </c>
      <c r="B846" s="66">
        <v>0</v>
      </c>
      <c r="C846" s="99"/>
      <c r="D846" s="81"/>
      <c r="E846" s="83">
        <v>0</v>
      </c>
      <c r="F846" s="84">
        <v>0</v>
      </c>
    </row>
    <row r="847" spans="1:9" x14ac:dyDescent="0.2">
      <c r="A847" s="65">
        <v>0</v>
      </c>
      <c r="B847" s="66">
        <v>0</v>
      </c>
      <c r="C847" s="99"/>
      <c r="D847" s="81"/>
      <c r="E847" s="83">
        <v>0</v>
      </c>
      <c r="F847" s="84">
        <v>0</v>
      </c>
    </row>
    <row r="848" spans="1:9" ht="15" x14ac:dyDescent="0.25">
      <c r="A848" s="72"/>
      <c r="B848" s="73"/>
      <c r="C848" s="408" t="s">
        <v>176</v>
      </c>
      <c r="D848" s="408"/>
      <c r="E848" s="409"/>
      <c r="F848" s="74">
        <v>0</v>
      </c>
    </row>
    <row r="849" spans="1:6" ht="15" thickBot="1" x14ac:dyDescent="0.25">
      <c r="A849" s="75"/>
      <c r="B849" s="76"/>
      <c r="C849" s="76"/>
      <c r="D849" s="77"/>
      <c r="E849" s="78"/>
      <c r="F849" s="79"/>
    </row>
    <row r="850" spans="1:6" ht="15.75" thickBot="1" x14ac:dyDescent="0.3">
      <c r="A850" s="100" t="s">
        <v>177</v>
      </c>
      <c r="B850" s="101"/>
      <c r="C850" s="101"/>
      <c r="D850" s="101"/>
      <c r="E850" s="102"/>
      <c r="F850" s="103">
        <f>+F843+F829+F837</f>
        <v>95303</v>
      </c>
    </row>
    <row r="851" spans="1:6" ht="15" x14ac:dyDescent="0.25">
      <c r="A851" s="104" t="s">
        <v>178</v>
      </c>
      <c r="B851" s="105"/>
      <c r="C851" s="105"/>
      <c r="D851" s="105"/>
      <c r="E851" s="105"/>
      <c r="F851" s="106" t="s">
        <v>179</v>
      </c>
    </row>
    <row r="852" spans="1:6" x14ac:dyDescent="0.2">
      <c r="A852" s="399" t="s">
        <v>158</v>
      </c>
      <c r="B852" s="400"/>
      <c r="C852" s="400"/>
      <c r="D852" s="400"/>
      <c r="E852" s="107" t="s">
        <v>144</v>
      </c>
      <c r="F852" s="108"/>
    </row>
    <row r="853" spans="1:6" x14ac:dyDescent="0.2">
      <c r="A853" s="399" t="s">
        <v>180</v>
      </c>
      <c r="B853" s="400"/>
      <c r="C853" s="400"/>
      <c r="D853" s="400"/>
      <c r="E853" s="109">
        <v>0.23</v>
      </c>
      <c r="F853" s="108">
        <f>+E853*F850</f>
        <v>21919.690000000002</v>
      </c>
    </row>
    <row r="854" spans="1:6" x14ac:dyDescent="0.2">
      <c r="A854" s="399" t="s">
        <v>181</v>
      </c>
      <c r="B854" s="400"/>
      <c r="C854" s="400"/>
      <c r="D854" s="400"/>
      <c r="E854" s="109">
        <v>0.02</v>
      </c>
      <c r="F854" s="108">
        <f>+E854*F850</f>
        <v>1906.06</v>
      </c>
    </row>
    <row r="855" spans="1:6" x14ac:dyDescent="0.2">
      <c r="A855" s="399" t="s">
        <v>182</v>
      </c>
      <c r="B855" s="400"/>
      <c r="C855" s="400"/>
      <c r="D855" s="400"/>
      <c r="E855" s="109">
        <v>0.05</v>
      </c>
      <c r="F855" s="108">
        <f>+E855*F850</f>
        <v>4765.1500000000005</v>
      </c>
    </row>
    <row r="856" spans="1:6" x14ac:dyDescent="0.2">
      <c r="A856" s="110" t="s">
        <v>183</v>
      </c>
      <c r="B856" s="111"/>
      <c r="C856" s="111"/>
      <c r="D856" s="111"/>
      <c r="E856" s="109"/>
      <c r="F856" s="108">
        <v>0</v>
      </c>
    </row>
    <row r="857" spans="1:6" ht="15" x14ac:dyDescent="0.2">
      <c r="A857" s="112"/>
      <c r="B857" s="113"/>
      <c r="C857" s="113"/>
      <c r="D857" s="113"/>
      <c r="E857" s="114" t="s">
        <v>184</v>
      </c>
      <c r="F857" s="115">
        <f>+F853+F854+F855</f>
        <v>28590.900000000005</v>
      </c>
    </row>
    <row r="858" spans="1:6" ht="15.75" thickBot="1" x14ac:dyDescent="0.3">
      <c r="A858" s="401" t="s">
        <v>185</v>
      </c>
      <c r="B858" s="402"/>
      <c r="C858" s="402"/>
      <c r="D858" s="402"/>
      <c r="E858" s="402"/>
      <c r="F858" s="116">
        <f>+F850+F857</f>
        <v>123893.90000000001</v>
      </c>
    </row>
    <row r="859" spans="1:6" x14ac:dyDescent="0.2">
      <c r="A859" s="41" t="s">
        <v>153</v>
      </c>
      <c r="B859" s="117" t="s">
        <v>104</v>
      </c>
      <c r="C859" s="43"/>
      <c r="D859" s="44"/>
      <c r="E859" s="45"/>
      <c r="F859" s="46"/>
    </row>
    <row r="860" spans="1:6" x14ac:dyDescent="0.2">
      <c r="A860" s="48" t="s">
        <v>154</v>
      </c>
      <c r="B860" s="403" t="s">
        <v>106</v>
      </c>
      <c r="C860" s="404"/>
      <c r="D860" s="404"/>
      <c r="E860" s="404"/>
      <c r="F860" s="405"/>
    </row>
    <row r="861" spans="1:6" ht="15" thickBot="1" x14ac:dyDescent="0.25">
      <c r="A861" s="50" t="s">
        <v>156</v>
      </c>
      <c r="B861" s="51" t="s">
        <v>88</v>
      </c>
      <c r="C861" s="52"/>
      <c r="D861" s="53"/>
      <c r="E861" s="52"/>
      <c r="F861" s="54"/>
    </row>
    <row r="862" spans="1:6" x14ac:dyDescent="0.2">
      <c r="A862" s="55" t="s">
        <v>157</v>
      </c>
      <c r="B862" s="56"/>
      <c r="C862" s="57"/>
      <c r="D862" s="58"/>
      <c r="E862" s="59"/>
      <c r="F862" s="60"/>
    </row>
    <row r="863" spans="1:6" x14ac:dyDescent="0.2">
      <c r="A863" s="61" t="s">
        <v>158</v>
      </c>
      <c r="B863" s="62" t="s">
        <v>159</v>
      </c>
      <c r="C863" s="406" t="s">
        <v>160</v>
      </c>
      <c r="D863" s="407"/>
      <c r="E863" s="63" t="s">
        <v>161</v>
      </c>
      <c r="F863" s="64" t="s">
        <v>162</v>
      </c>
    </row>
    <row r="864" spans="1:6" x14ac:dyDescent="0.2">
      <c r="A864" s="65" t="s">
        <v>233</v>
      </c>
      <c r="B864" s="66" t="s">
        <v>189</v>
      </c>
      <c r="C864" s="120">
        <f>+Lista_prec_base!C35</f>
        <v>8496</v>
      </c>
      <c r="D864" s="68"/>
      <c r="E864" s="69">
        <v>2</v>
      </c>
      <c r="F864" s="70">
        <f>+C864/E864</f>
        <v>4248</v>
      </c>
    </row>
    <row r="865" spans="1:6" x14ac:dyDescent="0.2">
      <c r="A865" s="65"/>
      <c r="B865" s="66"/>
      <c r="C865" s="67"/>
      <c r="D865" s="68"/>
      <c r="E865" s="69"/>
      <c r="F865" s="70"/>
    </row>
    <row r="866" spans="1:6" x14ac:dyDescent="0.2">
      <c r="A866" s="65"/>
      <c r="B866" s="66"/>
      <c r="C866" s="67">
        <v>0</v>
      </c>
      <c r="D866" s="68"/>
      <c r="E866" s="71"/>
      <c r="F866" s="70">
        <v>0</v>
      </c>
    </row>
    <row r="867" spans="1:6" x14ac:dyDescent="0.2">
      <c r="A867" s="65"/>
      <c r="B867" s="66"/>
      <c r="C867" s="67">
        <v>0</v>
      </c>
      <c r="D867" s="68"/>
      <c r="E867" s="71"/>
      <c r="F867" s="70">
        <v>0</v>
      </c>
    </row>
    <row r="868" spans="1:6" ht="15" x14ac:dyDescent="0.25">
      <c r="A868" s="72"/>
      <c r="B868" s="73"/>
      <c r="C868" s="408" t="s">
        <v>163</v>
      </c>
      <c r="D868" s="408"/>
      <c r="E868" s="409"/>
      <c r="F868" s="74">
        <f>SUM(F864:F867)</f>
        <v>4248</v>
      </c>
    </row>
    <row r="869" spans="1:6" x14ac:dyDescent="0.2">
      <c r="A869" s="75" t="s">
        <v>164</v>
      </c>
      <c r="B869" s="76"/>
      <c r="C869" s="76"/>
      <c r="D869" s="77"/>
      <c r="E869" s="78"/>
      <c r="F869" s="79"/>
    </row>
    <row r="870" spans="1:6" x14ac:dyDescent="0.2">
      <c r="A870" s="61" t="s">
        <v>158</v>
      </c>
      <c r="B870" s="62" t="s">
        <v>159</v>
      </c>
      <c r="C870" s="406" t="s">
        <v>7</v>
      </c>
      <c r="D870" s="407"/>
      <c r="E870" s="63" t="s">
        <v>165</v>
      </c>
      <c r="F870" s="64" t="s">
        <v>162</v>
      </c>
    </row>
    <row r="871" spans="1:6" x14ac:dyDescent="0.2">
      <c r="A871" s="85" t="s">
        <v>261</v>
      </c>
      <c r="B871" s="66" t="s">
        <v>196</v>
      </c>
      <c r="C871" s="86">
        <v>1</v>
      </c>
      <c r="D871" s="82"/>
      <c r="E871" s="83">
        <f>+Lista_prec_base!C20</f>
        <v>24037</v>
      </c>
      <c r="F871" s="84">
        <f>+E871*C871</f>
        <v>24037</v>
      </c>
    </row>
    <row r="872" spans="1:6" x14ac:dyDescent="0.2">
      <c r="A872" s="85">
        <v>0</v>
      </c>
      <c r="B872" s="66">
        <v>0</v>
      </c>
      <c r="C872" s="86"/>
      <c r="D872" s="82"/>
      <c r="E872" s="83">
        <v>0</v>
      </c>
      <c r="F872" s="84">
        <v>0</v>
      </c>
    </row>
    <row r="873" spans="1:6" x14ac:dyDescent="0.2">
      <c r="A873" s="65">
        <v>0</v>
      </c>
      <c r="B873" s="66">
        <v>0</v>
      </c>
      <c r="C873" s="87"/>
      <c r="D873" s="82"/>
      <c r="E873" s="83">
        <v>0</v>
      </c>
      <c r="F873" s="84">
        <v>0</v>
      </c>
    </row>
    <row r="874" spans="1:6" x14ac:dyDescent="0.2">
      <c r="A874" s="65">
        <v>0</v>
      </c>
      <c r="B874" s="66">
        <v>0</v>
      </c>
      <c r="C874" s="87"/>
      <c r="D874" s="82"/>
      <c r="E874" s="83">
        <v>0</v>
      </c>
      <c r="F874" s="84">
        <v>0</v>
      </c>
    </row>
    <row r="875" spans="1:6" x14ac:dyDescent="0.2">
      <c r="A875" s="65">
        <v>0</v>
      </c>
      <c r="B875" s="66">
        <v>0</v>
      </c>
      <c r="C875" s="87"/>
      <c r="D875" s="82"/>
      <c r="E875" s="83">
        <v>0</v>
      </c>
      <c r="F875" s="84">
        <v>0</v>
      </c>
    </row>
    <row r="876" spans="1:6" ht="15" x14ac:dyDescent="0.25">
      <c r="A876" s="72"/>
      <c r="B876" s="73"/>
      <c r="C876" s="408" t="s">
        <v>167</v>
      </c>
      <c r="D876" s="408"/>
      <c r="E876" s="409"/>
      <c r="F876" s="74">
        <f>+F871</f>
        <v>24037</v>
      </c>
    </row>
    <row r="877" spans="1:6" x14ac:dyDescent="0.2">
      <c r="A877" s="72" t="s">
        <v>168</v>
      </c>
      <c r="B877" s="73"/>
      <c r="C877" s="73"/>
      <c r="D877" s="88"/>
      <c r="E877" s="89"/>
      <c r="F877" s="90"/>
    </row>
    <row r="878" spans="1:6" x14ac:dyDescent="0.2">
      <c r="A878" s="61" t="s">
        <v>158</v>
      </c>
      <c r="B878" s="62" t="s">
        <v>159</v>
      </c>
      <c r="C878" s="62" t="s">
        <v>169</v>
      </c>
      <c r="D878" s="91" t="s">
        <v>170</v>
      </c>
      <c r="E878" s="63" t="s">
        <v>161</v>
      </c>
      <c r="F878" s="64" t="s">
        <v>171</v>
      </c>
    </row>
    <row r="879" spans="1:6" x14ac:dyDescent="0.2">
      <c r="A879" s="65" t="s">
        <v>190</v>
      </c>
      <c r="B879" s="92" t="s">
        <v>191</v>
      </c>
      <c r="C879" s="93">
        <v>1.65</v>
      </c>
      <c r="D879" s="94">
        <f>+Lista_prec_base!C43</f>
        <v>67000</v>
      </c>
      <c r="E879" s="95">
        <v>12.478999999999999</v>
      </c>
      <c r="F879" s="70">
        <f>+C879*D879/E879</f>
        <v>8858.8829233111628</v>
      </c>
    </row>
    <row r="880" spans="1:6" x14ac:dyDescent="0.2">
      <c r="A880" s="65">
        <v>0</v>
      </c>
      <c r="B880" s="92">
        <v>0</v>
      </c>
      <c r="C880" s="93"/>
      <c r="D880" s="94">
        <v>0</v>
      </c>
      <c r="E880" s="96"/>
      <c r="F880" s="97">
        <v>0</v>
      </c>
    </row>
    <row r="881" spans="1:9" x14ac:dyDescent="0.2">
      <c r="A881" s="65">
        <v>0</v>
      </c>
      <c r="B881" s="92">
        <v>0</v>
      </c>
      <c r="C881" s="93"/>
      <c r="D881" s="94">
        <v>0</v>
      </c>
      <c r="E881" s="96"/>
      <c r="F881" s="97">
        <v>0</v>
      </c>
      <c r="I881" s="119"/>
    </row>
    <row r="882" spans="1:9" ht="15" x14ac:dyDescent="0.25">
      <c r="A882" s="72"/>
      <c r="B882" s="73"/>
      <c r="C882" s="408" t="s">
        <v>172</v>
      </c>
      <c r="D882" s="408"/>
      <c r="E882" s="409"/>
      <c r="F882" s="74">
        <f>+F879</f>
        <v>8858.8829233111628</v>
      </c>
    </row>
    <row r="883" spans="1:9" x14ac:dyDescent="0.2">
      <c r="A883" s="75" t="s">
        <v>173</v>
      </c>
      <c r="B883" s="76"/>
      <c r="C883" s="76"/>
      <c r="D883" s="77"/>
      <c r="E883" s="78"/>
      <c r="F883" s="79"/>
    </row>
    <row r="884" spans="1:9" x14ac:dyDescent="0.2">
      <c r="A884" s="61" t="s">
        <v>158</v>
      </c>
      <c r="B884" s="62" t="s">
        <v>159</v>
      </c>
      <c r="C884" s="62" t="s">
        <v>174</v>
      </c>
      <c r="D884" s="98" t="s">
        <v>175</v>
      </c>
      <c r="E884" s="63" t="s">
        <v>165</v>
      </c>
      <c r="F884" s="64" t="s">
        <v>162</v>
      </c>
    </row>
    <row r="885" spans="1:9" x14ac:dyDescent="0.2">
      <c r="A885" s="65">
        <v>0</v>
      </c>
      <c r="B885" s="66">
        <v>0</v>
      </c>
      <c r="C885" s="99"/>
      <c r="D885" s="81"/>
      <c r="E885" s="83">
        <v>0</v>
      </c>
      <c r="F885" s="84">
        <v>0</v>
      </c>
    </row>
    <row r="886" spans="1:9" x14ac:dyDescent="0.2">
      <c r="A886" s="65">
        <v>0</v>
      </c>
      <c r="B886" s="66">
        <v>0</v>
      </c>
      <c r="C886" s="99"/>
      <c r="D886" s="81"/>
      <c r="E886" s="83">
        <v>0</v>
      </c>
      <c r="F886" s="84">
        <v>0</v>
      </c>
    </row>
    <row r="887" spans="1:9" ht="15" x14ac:dyDescent="0.25">
      <c r="A887" s="72"/>
      <c r="B887" s="73"/>
      <c r="C887" s="408" t="s">
        <v>176</v>
      </c>
      <c r="D887" s="408"/>
      <c r="E887" s="409"/>
      <c r="F887" s="74">
        <v>0</v>
      </c>
    </row>
    <row r="888" spans="1:9" ht="15" thickBot="1" x14ac:dyDescent="0.25">
      <c r="A888" s="75"/>
      <c r="B888" s="76"/>
      <c r="C888" s="76"/>
      <c r="D888" s="77"/>
      <c r="E888" s="78"/>
      <c r="F888" s="79"/>
    </row>
    <row r="889" spans="1:9" ht="15.75" thickBot="1" x14ac:dyDescent="0.3">
      <c r="A889" s="100" t="s">
        <v>177</v>
      </c>
      <c r="B889" s="101"/>
      <c r="C889" s="101"/>
      <c r="D889" s="101"/>
      <c r="E889" s="102"/>
      <c r="F889" s="103">
        <f>+F882+F868+F876</f>
        <v>37143.882923311161</v>
      </c>
    </row>
    <row r="890" spans="1:9" ht="15" x14ac:dyDescent="0.25">
      <c r="A890" s="104" t="s">
        <v>178</v>
      </c>
      <c r="B890" s="105"/>
      <c r="C890" s="105"/>
      <c r="D890" s="105"/>
      <c r="E890" s="105"/>
      <c r="F890" s="106" t="s">
        <v>179</v>
      </c>
    </row>
    <row r="891" spans="1:9" x14ac:dyDescent="0.2">
      <c r="A891" s="399" t="s">
        <v>158</v>
      </c>
      <c r="B891" s="400"/>
      <c r="C891" s="400"/>
      <c r="D891" s="400"/>
      <c r="E891" s="107" t="s">
        <v>144</v>
      </c>
      <c r="F891" s="108"/>
    </row>
    <row r="892" spans="1:9" x14ac:dyDescent="0.2">
      <c r="A892" s="399" t="s">
        <v>180</v>
      </c>
      <c r="B892" s="400"/>
      <c r="C892" s="400"/>
      <c r="D892" s="400"/>
      <c r="E892" s="109">
        <v>0.23</v>
      </c>
      <c r="F892" s="108">
        <f>+E892*F889</f>
        <v>8543.0930723615675</v>
      </c>
    </row>
    <row r="893" spans="1:9" x14ac:dyDescent="0.2">
      <c r="A893" s="399" t="s">
        <v>181</v>
      </c>
      <c r="B893" s="400"/>
      <c r="C893" s="400"/>
      <c r="D893" s="400"/>
      <c r="E893" s="109">
        <v>0.02</v>
      </c>
      <c r="F893" s="108">
        <f>+E893*F889</f>
        <v>742.87765846622324</v>
      </c>
    </row>
    <row r="894" spans="1:9" x14ac:dyDescent="0.2">
      <c r="A894" s="399" t="s">
        <v>182</v>
      </c>
      <c r="B894" s="400"/>
      <c r="C894" s="400"/>
      <c r="D894" s="400"/>
      <c r="E894" s="109">
        <v>0.05</v>
      </c>
      <c r="F894" s="108">
        <f>+E894*F889</f>
        <v>1857.1941461655581</v>
      </c>
    </row>
    <row r="895" spans="1:9" x14ac:dyDescent="0.2">
      <c r="A895" s="110" t="s">
        <v>183</v>
      </c>
      <c r="B895" s="111"/>
      <c r="C895" s="111"/>
      <c r="D895" s="111"/>
      <c r="E895" s="109"/>
      <c r="F895" s="108">
        <v>0</v>
      </c>
    </row>
    <row r="896" spans="1:9" ht="15" x14ac:dyDescent="0.2">
      <c r="A896" s="112"/>
      <c r="B896" s="113"/>
      <c r="C896" s="113"/>
      <c r="D896" s="113"/>
      <c r="E896" s="114" t="s">
        <v>184</v>
      </c>
      <c r="F896" s="115">
        <f>+F892+F893+F894</f>
        <v>11143.164876993349</v>
      </c>
    </row>
    <row r="897" spans="1:6" ht="15.75" thickBot="1" x14ac:dyDescent="0.3">
      <c r="A897" s="401" t="s">
        <v>185</v>
      </c>
      <c r="B897" s="402"/>
      <c r="C897" s="402"/>
      <c r="D897" s="402"/>
      <c r="E897" s="402"/>
      <c r="F897" s="116">
        <f>+F889+F896</f>
        <v>48287.047800304514</v>
      </c>
    </row>
    <row r="898" spans="1:6" x14ac:dyDescent="0.2">
      <c r="A898" s="41" t="s">
        <v>153</v>
      </c>
      <c r="B898" s="117" t="s">
        <v>107</v>
      </c>
      <c r="C898" s="43"/>
      <c r="D898" s="44"/>
      <c r="E898" s="45"/>
      <c r="F898" s="46"/>
    </row>
    <row r="899" spans="1:6" x14ac:dyDescent="0.2">
      <c r="A899" s="48" t="s">
        <v>154</v>
      </c>
      <c r="B899" s="403" t="s">
        <v>108</v>
      </c>
      <c r="C899" s="404"/>
      <c r="D899" s="404"/>
      <c r="E899" s="404"/>
      <c r="F899" s="405"/>
    </row>
    <row r="900" spans="1:6" ht="15" thickBot="1" x14ac:dyDescent="0.25">
      <c r="A900" s="50" t="s">
        <v>156</v>
      </c>
      <c r="B900" s="51" t="s">
        <v>33</v>
      </c>
      <c r="C900" s="52"/>
      <c r="D900" s="53"/>
      <c r="E900" s="52"/>
      <c r="F900" s="54"/>
    </row>
    <row r="901" spans="1:6" x14ac:dyDescent="0.2">
      <c r="A901" s="55" t="s">
        <v>157</v>
      </c>
      <c r="B901" s="56"/>
      <c r="C901" s="57"/>
      <c r="D901" s="58"/>
      <c r="E901" s="59"/>
      <c r="F901" s="60"/>
    </row>
    <row r="902" spans="1:6" x14ac:dyDescent="0.2">
      <c r="A902" s="61" t="s">
        <v>158</v>
      </c>
      <c r="B902" s="62" t="s">
        <v>159</v>
      </c>
      <c r="C902" s="406" t="s">
        <v>160</v>
      </c>
      <c r="D902" s="407"/>
      <c r="E902" s="63" t="s">
        <v>161</v>
      </c>
      <c r="F902" s="64" t="s">
        <v>162</v>
      </c>
    </row>
    <row r="903" spans="1:6" x14ac:dyDescent="0.2">
      <c r="A903" s="65" t="s">
        <v>235</v>
      </c>
      <c r="B903" s="66" t="s">
        <v>189</v>
      </c>
      <c r="C903" s="120">
        <f>+Lista_prec_base!C38</f>
        <v>185000</v>
      </c>
      <c r="D903" s="68"/>
      <c r="E903" s="69">
        <v>26.431529546991563</v>
      </c>
      <c r="F903" s="70">
        <f>+C903/E903</f>
        <v>6999.216586050984</v>
      </c>
    </row>
    <row r="904" spans="1:6" x14ac:dyDescent="0.2">
      <c r="A904" s="65"/>
      <c r="B904" s="66"/>
      <c r="C904" s="67"/>
      <c r="D904" s="68"/>
      <c r="E904" s="69"/>
      <c r="F904" s="70"/>
    </row>
    <row r="905" spans="1:6" x14ac:dyDescent="0.2">
      <c r="A905" s="65"/>
      <c r="B905" s="66"/>
      <c r="C905" s="67">
        <v>0</v>
      </c>
      <c r="D905" s="68"/>
      <c r="E905" s="71"/>
      <c r="F905" s="70">
        <v>0</v>
      </c>
    </row>
    <row r="906" spans="1:6" x14ac:dyDescent="0.2">
      <c r="A906" s="65"/>
      <c r="B906" s="66"/>
      <c r="C906" s="67">
        <v>0</v>
      </c>
      <c r="D906" s="68"/>
      <c r="E906" s="71"/>
      <c r="F906" s="70">
        <v>0</v>
      </c>
    </row>
    <row r="907" spans="1:6" ht="15" x14ac:dyDescent="0.25">
      <c r="A907" s="72"/>
      <c r="B907" s="73"/>
      <c r="C907" s="408" t="s">
        <v>163</v>
      </c>
      <c r="D907" s="408"/>
      <c r="E907" s="409"/>
      <c r="F907" s="74">
        <f>SUM(F903:F906)</f>
        <v>6999.216586050984</v>
      </c>
    </row>
    <row r="908" spans="1:6" x14ac:dyDescent="0.2">
      <c r="A908" s="75" t="s">
        <v>164</v>
      </c>
      <c r="B908" s="76"/>
      <c r="C908" s="76"/>
      <c r="D908" s="77"/>
      <c r="E908" s="78"/>
      <c r="F908" s="79"/>
    </row>
    <row r="909" spans="1:6" x14ac:dyDescent="0.2">
      <c r="A909" s="61" t="s">
        <v>158</v>
      </c>
      <c r="B909" s="62" t="s">
        <v>159</v>
      </c>
      <c r="C909" s="406" t="s">
        <v>7</v>
      </c>
      <c r="D909" s="407"/>
      <c r="E909" s="63" t="s">
        <v>165</v>
      </c>
      <c r="F909" s="64" t="s">
        <v>162</v>
      </c>
    </row>
    <row r="910" spans="1:6" x14ac:dyDescent="0.2">
      <c r="A910" s="85">
        <v>0</v>
      </c>
      <c r="B910" s="66">
        <v>0</v>
      </c>
      <c r="C910" s="86"/>
      <c r="D910" s="82"/>
      <c r="E910" s="83">
        <v>0</v>
      </c>
      <c r="F910" s="84">
        <v>0</v>
      </c>
    </row>
    <row r="911" spans="1:6" x14ac:dyDescent="0.2">
      <c r="A911" s="85">
        <v>0</v>
      </c>
      <c r="B911" s="66">
        <v>0</v>
      </c>
      <c r="C911" s="86"/>
      <c r="D911" s="82"/>
      <c r="E911" s="83">
        <v>0</v>
      </c>
      <c r="F911" s="84">
        <v>0</v>
      </c>
    </row>
    <row r="912" spans="1:6" x14ac:dyDescent="0.2">
      <c r="A912" s="65">
        <v>0</v>
      </c>
      <c r="B912" s="66">
        <v>0</v>
      </c>
      <c r="C912" s="87"/>
      <c r="D912" s="82"/>
      <c r="E912" s="83">
        <v>0</v>
      </c>
      <c r="F912" s="84">
        <v>0</v>
      </c>
    </row>
    <row r="913" spans="1:9" x14ac:dyDescent="0.2">
      <c r="A913" s="65">
        <v>0</v>
      </c>
      <c r="B913" s="66">
        <v>0</v>
      </c>
      <c r="C913" s="87"/>
      <c r="D913" s="82"/>
      <c r="E913" s="83">
        <v>0</v>
      </c>
      <c r="F913" s="84">
        <v>0</v>
      </c>
    </row>
    <row r="914" spans="1:9" x14ac:dyDescent="0.2">
      <c r="A914" s="65">
        <v>0</v>
      </c>
      <c r="B914" s="66">
        <v>0</v>
      </c>
      <c r="C914" s="87"/>
      <c r="D914" s="82"/>
      <c r="E914" s="83">
        <v>0</v>
      </c>
      <c r="F914" s="84">
        <v>0</v>
      </c>
    </row>
    <row r="915" spans="1:9" ht="15" x14ac:dyDescent="0.25">
      <c r="A915" s="72"/>
      <c r="B915" s="73"/>
      <c r="C915" s="408" t="s">
        <v>167</v>
      </c>
      <c r="D915" s="408"/>
      <c r="E915" s="409"/>
      <c r="F915" s="74">
        <f>+F910</f>
        <v>0</v>
      </c>
    </row>
    <row r="916" spans="1:9" x14ac:dyDescent="0.2">
      <c r="A916" s="72" t="s">
        <v>168</v>
      </c>
      <c r="B916" s="73"/>
      <c r="C916" s="73"/>
      <c r="D916" s="88"/>
      <c r="E916" s="89"/>
      <c r="F916" s="90"/>
    </row>
    <row r="917" spans="1:9" x14ac:dyDescent="0.2">
      <c r="A917" s="61" t="s">
        <v>158</v>
      </c>
      <c r="B917" s="62" t="s">
        <v>159</v>
      </c>
      <c r="C917" s="62" t="s">
        <v>169</v>
      </c>
      <c r="D917" s="91" t="s">
        <v>170</v>
      </c>
      <c r="E917" s="63" t="s">
        <v>161</v>
      </c>
      <c r="F917" s="64" t="s">
        <v>171</v>
      </c>
    </row>
    <row r="918" spans="1:9" x14ac:dyDescent="0.2">
      <c r="A918" s="65">
        <v>0</v>
      </c>
      <c r="B918" s="92">
        <v>0</v>
      </c>
      <c r="C918" s="93"/>
      <c r="D918" s="94">
        <v>0</v>
      </c>
      <c r="E918" s="96"/>
      <c r="F918" s="97">
        <v>0</v>
      </c>
    </row>
    <row r="919" spans="1:9" x14ac:dyDescent="0.2">
      <c r="A919" s="65">
        <v>0</v>
      </c>
      <c r="B919" s="92">
        <v>0</v>
      </c>
      <c r="C919" s="93"/>
      <c r="D919" s="94">
        <v>0</v>
      </c>
      <c r="E919" s="96"/>
      <c r="F919" s="97">
        <v>0</v>
      </c>
    </row>
    <row r="920" spans="1:9" x14ac:dyDescent="0.2">
      <c r="A920" s="65">
        <v>0</v>
      </c>
      <c r="B920" s="92">
        <v>0</v>
      </c>
      <c r="C920" s="93"/>
      <c r="D920" s="94">
        <v>0</v>
      </c>
      <c r="E920" s="96"/>
      <c r="F920" s="97">
        <v>0</v>
      </c>
      <c r="I920" s="119"/>
    </row>
    <row r="921" spans="1:9" ht="15" x14ac:dyDescent="0.25">
      <c r="A921" s="72"/>
      <c r="B921" s="73"/>
      <c r="C921" s="408" t="s">
        <v>172</v>
      </c>
      <c r="D921" s="408"/>
      <c r="E921" s="409"/>
      <c r="F921" s="74">
        <f>+F918</f>
        <v>0</v>
      </c>
    </row>
    <row r="922" spans="1:9" x14ac:dyDescent="0.2">
      <c r="A922" s="75" t="s">
        <v>173</v>
      </c>
      <c r="B922" s="76"/>
      <c r="C922" s="76"/>
      <c r="D922" s="77"/>
      <c r="E922" s="78"/>
      <c r="F922" s="79"/>
    </row>
    <row r="923" spans="1:9" x14ac:dyDescent="0.2">
      <c r="A923" s="61" t="s">
        <v>158</v>
      </c>
      <c r="B923" s="62" t="s">
        <v>159</v>
      </c>
      <c r="C923" s="62" t="s">
        <v>174</v>
      </c>
      <c r="D923" s="98" t="s">
        <v>175</v>
      </c>
      <c r="E923" s="63" t="s">
        <v>165</v>
      </c>
      <c r="F923" s="64" t="s">
        <v>162</v>
      </c>
    </row>
    <row r="924" spans="1:9" x14ac:dyDescent="0.2">
      <c r="A924" s="65">
        <v>0</v>
      </c>
      <c r="B924" s="66">
        <v>0</v>
      </c>
      <c r="C924" s="99"/>
      <c r="D924" s="81"/>
      <c r="E924" s="83">
        <v>0</v>
      </c>
      <c r="F924" s="84">
        <v>0</v>
      </c>
    </row>
    <row r="925" spans="1:9" x14ac:dyDescent="0.2">
      <c r="A925" s="65">
        <v>0</v>
      </c>
      <c r="B925" s="66">
        <v>0</v>
      </c>
      <c r="C925" s="99"/>
      <c r="D925" s="81"/>
      <c r="E925" s="83">
        <v>0</v>
      </c>
      <c r="F925" s="84">
        <v>0</v>
      </c>
    </row>
    <row r="926" spans="1:9" ht="15" x14ac:dyDescent="0.25">
      <c r="A926" s="72"/>
      <c r="B926" s="73"/>
      <c r="C926" s="408" t="s">
        <v>176</v>
      </c>
      <c r="D926" s="408"/>
      <c r="E926" s="409"/>
      <c r="F926" s="74">
        <v>0</v>
      </c>
    </row>
    <row r="927" spans="1:9" ht="15" thickBot="1" x14ac:dyDescent="0.25">
      <c r="A927" s="75"/>
      <c r="B927" s="76"/>
      <c r="C927" s="76"/>
      <c r="D927" s="77"/>
      <c r="E927" s="78"/>
      <c r="F927" s="79"/>
    </row>
    <row r="928" spans="1:9" ht="15.75" thickBot="1" x14ac:dyDescent="0.3">
      <c r="A928" s="100" t="s">
        <v>177</v>
      </c>
      <c r="B928" s="101"/>
      <c r="C928" s="101"/>
      <c r="D928" s="101"/>
      <c r="E928" s="102"/>
      <c r="F928" s="103">
        <f>+F921+F907+F915</f>
        <v>6999.216586050984</v>
      </c>
    </row>
    <row r="929" spans="1:6" ht="15" x14ac:dyDescent="0.25">
      <c r="A929" s="104" t="s">
        <v>178</v>
      </c>
      <c r="B929" s="105"/>
      <c r="C929" s="105"/>
      <c r="D929" s="105"/>
      <c r="E929" s="105"/>
      <c r="F929" s="106" t="s">
        <v>179</v>
      </c>
    </row>
    <row r="930" spans="1:6" x14ac:dyDescent="0.2">
      <c r="A930" s="399" t="s">
        <v>158</v>
      </c>
      <c r="B930" s="400"/>
      <c r="C930" s="400"/>
      <c r="D930" s="400"/>
      <c r="E930" s="107" t="s">
        <v>144</v>
      </c>
      <c r="F930" s="108"/>
    </row>
    <row r="931" spans="1:6" x14ac:dyDescent="0.2">
      <c r="A931" s="399" t="s">
        <v>180</v>
      </c>
      <c r="B931" s="400"/>
      <c r="C931" s="400"/>
      <c r="D931" s="400"/>
      <c r="E931" s="109">
        <v>0.23</v>
      </c>
      <c r="F931" s="108">
        <f>+E931*F928</f>
        <v>1609.8198147917265</v>
      </c>
    </row>
    <row r="932" spans="1:6" x14ac:dyDescent="0.2">
      <c r="A932" s="399" t="s">
        <v>181</v>
      </c>
      <c r="B932" s="400"/>
      <c r="C932" s="400"/>
      <c r="D932" s="400"/>
      <c r="E932" s="109">
        <v>0.02</v>
      </c>
      <c r="F932" s="108">
        <f>+E932*F928</f>
        <v>139.98433172101969</v>
      </c>
    </row>
    <row r="933" spans="1:6" x14ac:dyDescent="0.2">
      <c r="A933" s="399" t="s">
        <v>182</v>
      </c>
      <c r="B933" s="400"/>
      <c r="C933" s="400"/>
      <c r="D933" s="400"/>
      <c r="E933" s="109">
        <v>0.05</v>
      </c>
      <c r="F933" s="108">
        <f>+E933*F928</f>
        <v>349.9608293025492</v>
      </c>
    </row>
    <row r="934" spans="1:6" x14ac:dyDescent="0.2">
      <c r="A934" s="110" t="s">
        <v>183</v>
      </c>
      <c r="B934" s="111"/>
      <c r="C934" s="111"/>
      <c r="D934" s="111"/>
      <c r="E934" s="109"/>
      <c r="F934" s="108">
        <v>0</v>
      </c>
    </row>
    <row r="935" spans="1:6" ht="15" x14ac:dyDescent="0.2">
      <c r="A935" s="112"/>
      <c r="B935" s="113"/>
      <c r="C935" s="113"/>
      <c r="D935" s="113"/>
      <c r="E935" s="114" t="s">
        <v>184</v>
      </c>
      <c r="F935" s="115">
        <f>+F931+F932+F933</f>
        <v>2099.7649758152957</v>
      </c>
    </row>
    <row r="936" spans="1:6" ht="15.75" thickBot="1" x14ac:dyDescent="0.3">
      <c r="A936" s="401" t="s">
        <v>185</v>
      </c>
      <c r="B936" s="402"/>
      <c r="C936" s="402"/>
      <c r="D936" s="402"/>
      <c r="E936" s="402"/>
      <c r="F936" s="116">
        <f>+F928+F935</f>
        <v>9098.9815618662797</v>
      </c>
    </row>
    <row r="937" spans="1:6" x14ac:dyDescent="0.2">
      <c r="A937" s="41" t="s">
        <v>153</v>
      </c>
      <c r="B937" s="117" t="s">
        <v>109</v>
      </c>
      <c r="C937" s="43"/>
      <c r="D937" s="44"/>
      <c r="E937" s="45"/>
      <c r="F937" s="46"/>
    </row>
    <row r="938" spans="1:6" x14ac:dyDescent="0.2">
      <c r="A938" s="48" t="s">
        <v>154</v>
      </c>
      <c r="B938" s="403" t="s">
        <v>111</v>
      </c>
      <c r="C938" s="404"/>
      <c r="D938" s="404"/>
      <c r="E938" s="404"/>
      <c r="F938" s="405"/>
    </row>
    <row r="939" spans="1:6" ht="15" thickBot="1" x14ac:dyDescent="0.25">
      <c r="A939" s="50" t="s">
        <v>156</v>
      </c>
      <c r="B939" s="51" t="s">
        <v>88</v>
      </c>
      <c r="C939" s="52"/>
      <c r="D939" s="53"/>
      <c r="E939" s="52"/>
      <c r="F939" s="54"/>
    </row>
    <row r="940" spans="1:6" x14ac:dyDescent="0.2">
      <c r="A940" s="55" t="s">
        <v>157</v>
      </c>
      <c r="B940" s="56"/>
      <c r="C940" s="57"/>
      <c r="D940" s="58"/>
      <c r="E940" s="59"/>
      <c r="F940" s="60"/>
    </row>
    <row r="941" spans="1:6" x14ac:dyDescent="0.2">
      <c r="A941" s="61" t="s">
        <v>158</v>
      </c>
      <c r="B941" s="62" t="s">
        <v>159</v>
      </c>
      <c r="C941" s="406" t="s">
        <v>160</v>
      </c>
      <c r="D941" s="407"/>
      <c r="E941" s="63" t="s">
        <v>161</v>
      </c>
      <c r="F941" s="64" t="s">
        <v>162</v>
      </c>
    </row>
    <row r="942" spans="1:6" x14ac:dyDescent="0.2">
      <c r="A942" s="65" t="s">
        <v>233</v>
      </c>
      <c r="B942" s="66" t="s">
        <v>189</v>
      </c>
      <c r="C942" s="120">
        <f>+Lista_prec_base!C35</f>
        <v>8496</v>
      </c>
      <c r="D942" s="68"/>
      <c r="E942" s="69">
        <v>1.5</v>
      </c>
      <c r="F942" s="70">
        <f>+C942/E942</f>
        <v>5664</v>
      </c>
    </row>
    <row r="943" spans="1:6" x14ac:dyDescent="0.2">
      <c r="A943" s="65"/>
      <c r="B943" s="66"/>
      <c r="C943" s="67"/>
      <c r="D943" s="68"/>
      <c r="E943" s="69"/>
      <c r="F943" s="70"/>
    </row>
    <row r="944" spans="1:6" x14ac:dyDescent="0.2">
      <c r="A944" s="65"/>
      <c r="B944" s="66"/>
      <c r="C944" s="67">
        <v>0</v>
      </c>
      <c r="D944" s="68"/>
      <c r="E944" s="71"/>
      <c r="F944" s="70">
        <v>0</v>
      </c>
    </row>
    <row r="945" spans="1:9" x14ac:dyDescent="0.2">
      <c r="A945" s="65"/>
      <c r="B945" s="66"/>
      <c r="C945" s="67">
        <v>0</v>
      </c>
      <c r="D945" s="68"/>
      <c r="E945" s="71"/>
      <c r="F945" s="70">
        <v>0</v>
      </c>
    </row>
    <row r="946" spans="1:9" ht="15" x14ac:dyDescent="0.25">
      <c r="A946" s="72"/>
      <c r="B946" s="73"/>
      <c r="C946" s="408" t="s">
        <v>163</v>
      </c>
      <c r="D946" s="408"/>
      <c r="E946" s="409"/>
      <c r="F946" s="74">
        <f>SUM(F942:F945)</f>
        <v>5664</v>
      </c>
    </row>
    <row r="947" spans="1:9" x14ac:dyDescent="0.2">
      <c r="A947" s="75" t="s">
        <v>164</v>
      </c>
      <c r="B947" s="76"/>
      <c r="C947" s="76"/>
      <c r="D947" s="77"/>
      <c r="E947" s="78"/>
      <c r="F947" s="79"/>
    </row>
    <row r="948" spans="1:9" x14ac:dyDescent="0.2">
      <c r="A948" s="61" t="s">
        <v>158</v>
      </c>
      <c r="B948" s="62" t="s">
        <v>159</v>
      </c>
      <c r="C948" s="406" t="s">
        <v>7</v>
      </c>
      <c r="D948" s="407"/>
      <c r="E948" s="63" t="s">
        <v>165</v>
      </c>
      <c r="F948" s="64" t="s">
        <v>162</v>
      </c>
    </row>
    <row r="949" spans="1:9" x14ac:dyDescent="0.2">
      <c r="A949" s="85">
        <v>0</v>
      </c>
      <c r="B949" s="66">
        <v>0</v>
      </c>
      <c r="C949" s="86"/>
      <c r="D949" s="82"/>
      <c r="E949" s="83">
        <v>0</v>
      </c>
      <c r="F949" s="84">
        <v>0</v>
      </c>
    </row>
    <row r="950" spans="1:9" x14ac:dyDescent="0.2">
      <c r="A950" s="85">
        <v>0</v>
      </c>
      <c r="B950" s="66">
        <v>0</v>
      </c>
      <c r="C950" s="86"/>
      <c r="D950" s="82"/>
      <c r="E950" s="83">
        <v>0</v>
      </c>
      <c r="F950" s="84">
        <v>0</v>
      </c>
    </row>
    <row r="951" spans="1:9" x14ac:dyDescent="0.2">
      <c r="A951" s="65">
        <v>0</v>
      </c>
      <c r="B951" s="66">
        <v>0</v>
      </c>
      <c r="C951" s="87"/>
      <c r="D951" s="82"/>
      <c r="E951" s="83">
        <v>0</v>
      </c>
      <c r="F951" s="84">
        <v>0</v>
      </c>
    </row>
    <row r="952" spans="1:9" x14ac:dyDescent="0.2">
      <c r="A952" s="65">
        <v>0</v>
      </c>
      <c r="B952" s="66">
        <v>0</v>
      </c>
      <c r="C952" s="87"/>
      <c r="D952" s="82"/>
      <c r="E952" s="83">
        <v>0</v>
      </c>
      <c r="F952" s="84">
        <v>0</v>
      </c>
    </row>
    <row r="953" spans="1:9" x14ac:dyDescent="0.2">
      <c r="A953" s="65">
        <v>0</v>
      </c>
      <c r="B953" s="66">
        <v>0</v>
      </c>
      <c r="C953" s="87"/>
      <c r="D953" s="82"/>
      <c r="E953" s="83">
        <v>0</v>
      </c>
      <c r="F953" s="84">
        <v>0</v>
      </c>
    </row>
    <row r="954" spans="1:9" ht="15" x14ac:dyDescent="0.25">
      <c r="A954" s="72"/>
      <c r="B954" s="73"/>
      <c r="C954" s="408" t="s">
        <v>167</v>
      </c>
      <c r="D954" s="408"/>
      <c r="E954" s="409"/>
      <c r="F954" s="74">
        <f>+F949</f>
        <v>0</v>
      </c>
    </row>
    <row r="955" spans="1:9" x14ac:dyDescent="0.2">
      <c r="A955" s="72" t="s">
        <v>168</v>
      </c>
      <c r="B955" s="73"/>
      <c r="C955" s="73"/>
      <c r="D955" s="88"/>
      <c r="E955" s="89"/>
      <c r="F955" s="90"/>
    </row>
    <row r="956" spans="1:9" x14ac:dyDescent="0.2">
      <c r="A956" s="61" t="s">
        <v>158</v>
      </c>
      <c r="B956" s="62" t="s">
        <v>159</v>
      </c>
      <c r="C956" s="62" t="s">
        <v>169</v>
      </c>
      <c r="D956" s="91" t="s">
        <v>170</v>
      </c>
      <c r="E956" s="63" t="s">
        <v>161</v>
      </c>
      <c r="F956" s="64" t="s">
        <v>171</v>
      </c>
    </row>
    <row r="957" spans="1:9" x14ac:dyDescent="0.2">
      <c r="A957" s="65" t="s">
        <v>190</v>
      </c>
      <c r="B957" s="92" t="s">
        <v>191</v>
      </c>
      <c r="C957" s="93">
        <v>1.65</v>
      </c>
      <c r="D957" s="94">
        <f>+Lista_prec_base!C43</f>
        <v>67000</v>
      </c>
      <c r="E957" s="95">
        <v>9</v>
      </c>
      <c r="F957" s="70">
        <f>+C957*D957/E957</f>
        <v>12283.333333333334</v>
      </c>
    </row>
    <row r="958" spans="1:9" x14ac:dyDescent="0.2">
      <c r="A958" s="65">
        <v>0</v>
      </c>
      <c r="B958" s="92">
        <v>0</v>
      </c>
      <c r="C958" s="93"/>
      <c r="D958" s="94">
        <v>0</v>
      </c>
      <c r="E958" s="96"/>
      <c r="F958" s="97">
        <v>0</v>
      </c>
    </row>
    <row r="959" spans="1:9" x14ac:dyDescent="0.2">
      <c r="A959" s="65">
        <v>0</v>
      </c>
      <c r="B959" s="92">
        <v>0</v>
      </c>
      <c r="C959" s="93"/>
      <c r="D959" s="94">
        <v>0</v>
      </c>
      <c r="E959" s="96"/>
      <c r="F959" s="97">
        <v>0</v>
      </c>
      <c r="I959" s="119"/>
    </row>
    <row r="960" spans="1:9" ht="15" x14ac:dyDescent="0.25">
      <c r="A960" s="72"/>
      <c r="B960" s="73"/>
      <c r="C960" s="408" t="s">
        <v>172</v>
      </c>
      <c r="D960" s="408"/>
      <c r="E960" s="409"/>
      <c r="F960" s="74">
        <f>+F957</f>
        <v>12283.333333333334</v>
      </c>
    </row>
    <row r="961" spans="1:6" x14ac:dyDescent="0.2">
      <c r="A961" s="75" t="s">
        <v>173</v>
      </c>
      <c r="B961" s="76"/>
      <c r="C961" s="76"/>
      <c r="D961" s="77"/>
      <c r="E961" s="78"/>
      <c r="F961" s="79"/>
    </row>
    <row r="962" spans="1:6" x14ac:dyDescent="0.2">
      <c r="A962" s="61" t="s">
        <v>158</v>
      </c>
      <c r="B962" s="62" t="s">
        <v>159</v>
      </c>
      <c r="C962" s="62" t="s">
        <v>174</v>
      </c>
      <c r="D962" s="98" t="s">
        <v>175</v>
      </c>
      <c r="E962" s="63" t="s">
        <v>165</v>
      </c>
      <c r="F962" s="64" t="s">
        <v>162</v>
      </c>
    </row>
    <row r="963" spans="1:6" x14ac:dyDescent="0.2">
      <c r="A963" s="65">
        <v>0</v>
      </c>
      <c r="B963" s="66">
        <v>0</v>
      </c>
      <c r="C963" s="99"/>
      <c r="D963" s="81"/>
      <c r="E963" s="83">
        <v>0</v>
      </c>
      <c r="F963" s="84">
        <v>0</v>
      </c>
    </row>
    <row r="964" spans="1:6" x14ac:dyDescent="0.2">
      <c r="A964" s="65">
        <v>0</v>
      </c>
      <c r="B964" s="66">
        <v>0</v>
      </c>
      <c r="C964" s="99"/>
      <c r="D964" s="81"/>
      <c r="E964" s="83">
        <v>0</v>
      </c>
      <c r="F964" s="84">
        <v>0</v>
      </c>
    </row>
    <row r="965" spans="1:6" ht="15" x14ac:dyDescent="0.25">
      <c r="A965" s="72"/>
      <c r="B965" s="73"/>
      <c r="C965" s="408" t="s">
        <v>176</v>
      </c>
      <c r="D965" s="408"/>
      <c r="E965" s="409"/>
      <c r="F965" s="74">
        <v>0</v>
      </c>
    </row>
    <row r="966" spans="1:6" ht="15" thickBot="1" x14ac:dyDescent="0.25">
      <c r="A966" s="75"/>
      <c r="B966" s="76"/>
      <c r="C966" s="76"/>
      <c r="D966" s="77"/>
      <c r="E966" s="78"/>
      <c r="F966" s="79"/>
    </row>
    <row r="967" spans="1:6" ht="15.75" thickBot="1" x14ac:dyDescent="0.3">
      <c r="A967" s="100" t="s">
        <v>177</v>
      </c>
      <c r="B967" s="101"/>
      <c r="C967" s="101"/>
      <c r="D967" s="101"/>
      <c r="E967" s="102"/>
      <c r="F967" s="103">
        <f>+F960+F946+F954</f>
        <v>17947.333333333336</v>
      </c>
    </row>
    <row r="968" spans="1:6" ht="15" x14ac:dyDescent="0.25">
      <c r="A968" s="104" t="s">
        <v>178</v>
      </c>
      <c r="B968" s="105"/>
      <c r="C968" s="105"/>
      <c r="D968" s="105"/>
      <c r="E968" s="105"/>
      <c r="F968" s="106" t="s">
        <v>179</v>
      </c>
    </row>
    <row r="969" spans="1:6" x14ac:dyDescent="0.2">
      <c r="A969" s="399" t="s">
        <v>158</v>
      </c>
      <c r="B969" s="400"/>
      <c r="C969" s="400"/>
      <c r="D969" s="400"/>
      <c r="E969" s="107" t="s">
        <v>144</v>
      </c>
      <c r="F969" s="108"/>
    </row>
    <row r="970" spans="1:6" x14ac:dyDescent="0.2">
      <c r="A970" s="399" t="s">
        <v>180</v>
      </c>
      <c r="B970" s="400"/>
      <c r="C970" s="400"/>
      <c r="D970" s="400"/>
      <c r="E970" s="109">
        <v>0.23</v>
      </c>
      <c r="F970" s="108">
        <f>+E970*F967</f>
        <v>4127.8866666666672</v>
      </c>
    </row>
    <row r="971" spans="1:6" x14ac:dyDescent="0.2">
      <c r="A971" s="399" t="s">
        <v>181</v>
      </c>
      <c r="B971" s="400"/>
      <c r="C971" s="400"/>
      <c r="D971" s="400"/>
      <c r="E971" s="109">
        <v>0.02</v>
      </c>
      <c r="F971" s="108">
        <f>+E971*F967</f>
        <v>358.94666666666672</v>
      </c>
    </row>
    <row r="972" spans="1:6" x14ac:dyDescent="0.2">
      <c r="A972" s="399" t="s">
        <v>182</v>
      </c>
      <c r="B972" s="400"/>
      <c r="C972" s="400"/>
      <c r="D972" s="400"/>
      <c r="E972" s="109">
        <v>0.05</v>
      </c>
      <c r="F972" s="108">
        <f>+E972*F967</f>
        <v>897.36666666666679</v>
      </c>
    </row>
    <row r="973" spans="1:6" x14ac:dyDescent="0.2">
      <c r="A973" s="110" t="s">
        <v>183</v>
      </c>
      <c r="B973" s="111"/>
      <c r="C973" s="111"/>
      <c r="D973" s="111"/>
      <c r="E973" s="109"/>
      <c r="F973" s="108">
        <v>0</v>
      </c>
    </row>
    <row r="974" spans="1:6" ht="15" x14ac:dyDescent="0.2">
      <c r="A974" s="112"/>
      <c r="B974" s="113"/>
      <c r="C974" s="113"/>
      <c r="D974" s="113"/>
      <c r="E974" s="114" t="s">
        <v>184</v>
      </c>
      <c r="F974" s="115">
        <f>+F970+F971+F972</f>
        <v>5384.2000000000007</v>
      </c>
    </row>
    <row r="975" spans="1:6" ht="15.75" thickBot="1" x14ac:dyDescent="0.3">
      <c r="A975" s="401" t="s">
        <v>185</v>
      </c>
      <c r="B975" s="402"/>
      <c r="C975" s="402"/>
      <c r="D975" s="402"/>
      <c r="E975" s="402"/>
      <c r="F975" s="116">
        <f>+F967+F974</f>
        <v>23331.533333333336</v>
      </c>
    </row>
    <row r="976" spans="1:6" x14ac:dyDescent="0.2">
      <c r="A976" s="41" t="s">
        <v>153</v>
      </c>
      <c r="B976" s="117" t="s">
        <v>110</v>
      </c>
      <c r="C976" s="43"/>
      <c r="D976" s="44"/>
      <c r="E976" s="45"/>
      <c r="F976" s="46"/>
    </row>
    <row r="977" spans="1:6" ht="28.5" customHeight="1" x14ac:dyDescent="0.2">
      <c r="A977" s="48" t="s">
        <v>154</v>
      </c>
      <c r="B977" s="410" t="s">
        <v>112</v>
      </c>
      <c r="C977" s="411"/>
      <c r="D977" s="411"/>
      <c r="E977" s="411"/>
      <c r="F977" s="412"/>
    </row>
    <row r="978" spans="1:6" ht="15" thickBot="1" x14ac:dyDescent="0.25">
      <c r="A978" s="50" t="s">
        <v>156</v>
      </c>
      <c r="B978" s="51" t="s">
        <v>88</v>
      </c>
      <c r="C978" s="52"/>
      <c r="D978" s="53"/>
      <c r="E978" s="52"/>
      <c r="F978" s="54"/>
    </row>
    <row r="979" spans="1:6" x14ac:dyDescent="0.2">
      <c r="A979" s="55" t="s">
        <v>157</v>
      </c>
      <c r="B979" s="56"/>
      <c r="C979" s="57"/>
      <c r="D979" s="58"/>
      <c r="E979" s="59"/>
      <c r="F979" s="60"/>
    </row>
    <row r="980" spans="1:6" x14ac:dyDescent="0.2">
      <c r="A980" s="61" t="s">
        <v>158</v>
      </c>
      <c r="B980" s="62" t="s">
        <v>159</v>
      </c>
      <c r="C980" s="406" t="s">
        <v>160</v>
      </c>
      <c r="D980" s="407"/>
      <c r="E980" s="63" t="s">
        <v>161</v>
      </c>
      <c r="F980" s="64" t="s">
        <v>162</v>
      </c>
    </row>
    <row r="981" spans="1:6" x14ac:dyDescent="0.2">
      <c r="A981" s="65" t="s">
        <v>233</v>
      </c>
      <c r="B981" s="66" t="s">
        <v>189</v>
      </c>
      <c r="C981" s="120">
        <f>+Lista_prec_base!C35</f>
        <v>8496</v>
      </c>
      <c r="D981" s="68"/>
      <c r="E981" s="69">
        <v>1.5</v>
      </c>
      <c r="F981" s="70">
        <f>+C981/E981</f>
        <v>5664</v>
      </c>
    </row>
    <row r="982" spans="1:6" x14ac:dyDescent="0.2">
      <c r="A982" s="65"/>
      <c r="B982" s="66"/>
      <c r="C982" s="67"/>
      <c r="D982" s="68"/>
      <c r="E982" s="69"/>
      <c r="F982" s="70"/>
    </row>
    <row r="983" spans="1:6" x14ac:dyDescent="0.2">
      <c r="A983" s="65"/>
      <c r="B983" s="66"/>
      <c r="C983" s="67">
        <v>0</v>
      </c>
      <c r="D983" s="68"/>
      <c r="E983" s="71"/>
      <c r="F983" s="70">
        <v>0</v>
      </c>
    </row>
    <row r="984" spans="1:6" x14ac:dyDescent="0.2">
      <c r="A984" s="65"/>
      <c r="B984" s="66"/>
      <c r="C984" s="67">
        <v>0</v>
      </c>
      <c r="D984" s="68"/>
      <c r="E984" s="71"/>
      <c r="F984" s="70">
        <v>0</v>
      </c>
    </row>
    <row r="985" spans="1:6" ht="15" x14ac:dyDescent="0.25">
      <c r="A985" s="72"/>
      <c r="B985" s="73"/>
      <c r="C985" s="408" t="s">
        <v>163</v>
      </c>
      <c r="D985" s="408"/>
      <c r="E985" s="409"/>
      <c r="F985" s="74">
        <f>SUM(F981:F984)</f>
        <v>5664</v>
      </c>
    </row>
    <row r="986" spans="1:6" x14ac:dyDescent="0.2">
      <c r="A986" s="75" t="s">
        <v>164</v>
      </c>
      <c r="B986" s="76"/>
      <c r="C986" s="76"/>
      <c r="D986" s="77"/>
      <c r="E986" s="78"/>
      <c r="F986" s="79"/>
    </row>
    <row r="987" spans="1:6" x14ac:dyDescent="0.2">
      <c r="A987" s="61" t="s">
        <v>158</v>
      </c>
      <c r="B987" s="62" t="s">
        <v>159</v>
      </c>
      <c r="C987" s="406" t="s">
        <v>7</v>
      </c>
      <c r="D987" s="407"/>
      <c r="E987" s="63" t="s">
        <v>165</v>
      </c>
      <c r="F987" s="64" t="s">
        <v>162</v>
      </c>
    </row>
    <row r="988" spans="1:6" x14ac:dyDescent="0.2">
      <c r="A988" s="85" t="s">
        <v>236</v>
      </c>
      <c r="B988" s="66" t="s">
        <v>88</v>
      </c>
      <c r="C988" s="86">
        <v>1</v>
      </c>
      <c r="D988" s="82"/>
      <c r="E988" s="83">
        <f>+Lista_prec_base!C21</f>
        <v>30783.999938734483</v>
      </c>
      <c r="F988" s="84">
        <f>+C988*E988</f>
        <v>30783.999938734483</v>
      </c>
    </row>
    <row r="989" spans="1:6" x14ac:dyDescent="0.2">
      <c r="A989" s="85">
        <v>0</v>
      </c>
      <c r="B989" s="66">
        <v>0</v>
      </c>
      <c r="C989" s="86"/>
      <c r="D989" s="82"/>
      <c r="E989" s="83">
        <v>0</v>
      </c>
      <c r="F989" s="84">
        <v>0</v>
      </c>
    </row>
    <row r="990" spans="1:6" x14ac:dyDescent="0.2">
      <c r="A990" s="65">
        <v>0</v>
      </c>
      <c r="B990" s="66">
        <v>0</v>
      </c>
      <c r="C990" s="87"/>
      <c r="D990" s="82"/>
      <c r="E990" s="83">
        <v>0</v>
      </c>
      <c r="F990" s="84">
        <v>0</v>
      </c>
    </row>
    <row r="991" spans="1:6" x14ac:dyDescent="0.2">
      <c r="A991" s="65">
        <v>0</v>
      </c>
      <c r="B991" s="66">
        <v>0</v>
      </c>
      <c r="C991" s="87"/>
      <c r="D991" s="82"/>
      <c r="E991" s="83">
        <v>0</v>
      </c>
      <c r="F991" s="84">
        <v>0</v>
      </c>
    </row>
    <row r="992" spans="1:6" x14ac:dyDescent="0.2">
      <c r="A992" s="65">
        <v>0</v>
      </c>
      <c r="B992" s="66">
        <v>0</v>
      </c>
      <c r="C992" s="87"/>
      <c r="D992" s="82"/>
      <c r="E992" s="83">
        <v>0</v>
      </c>
      <c r="F992" s="84">
        <v>0</v>
      </c>
    </row>
    <row r="993" spans="1:9" ht="15" x14ac:dyDescent="0.25">
      <c r="A993" s="72"/>
      <c r="B993" s="73"/>
      <c r="C993" s="408" t="s">
        <v>167</v>
      </c>
      <c r="D993" s="408"/>
      <c r="E993" s="409"/>
      <c r="F993" s="74">
        <f>+F988</f>
        <v>30783.999938734483</v>
      </c>
    </row>
    <row r="994" spans="1:9" x14ac:dyDescent="0.2">
      <c r="A994" s="72" t="s">
        <v>168</v>
      </c>
      <c r="B994" s="73"/>
      <c r="C994" s="73"/>
      <c r="D994" s="88"/>
      <c r="E994" s="89"/>
      <c r="F994" s="90"/>
    </row>
    <row r="995" spans="1:9" x14ac:dyDescent="0.2">
      <c r="A995" s="61" t="s">
        <v>158</v>
      </c>
      <c r="B995" s="62" t="s">
        <v>159</v>
      </c>
      <c r="C995" s="62" t="s">
        <v>169</v>
      </c>
      <c r="D995" s="91" t="s">
        <v>170</v>
      </c>
      <c r="E995" s="63" t="s">
        <v>161</v>
      </c>
      <c r="F995" s="64" t="s">
        <v>171</v>
      </c>
    </row>
    <row r="996" spans="1:9" x14ac:dyDescent="0.2">
      <c r="A996" s="65" t="s">
        <v>190</v>
      </c>
      <c r="B996" s="92" t="s">
        <v>191</v>
      </c>
      <c r="C996" s="93">
        <v>1.65</v>
      </c>
      <c r="D996" s="94">
        <f>+Lista_prec_base!C43</f>
        <v>67000</v>
      </c>
      <c r="E996" s="95">
        <v>12.267188474841124</v>
      </c>
      <c r="F996" s="70">
        <f>+C996*D996/E996</f>
        <v>9011.8449086135661</v>
      </c>
    </row>
    <row r="997" spans="1:9" x14ac:dyDescent="0.2">
      <c r="A997" s="65">
        <v>0</v>
      </c>
      <c r="B997" s="92">
        <v>0</v>
      </c>
      <c r="C997" s="93"/>
      <c r="D997" s="94">
        <v>0</v>
      </c>
      <c r="E997" s="96"/>
      <c r="F997" s="97">
        <v>0</v>
      </c>
    </row>
    <row r="998" spans="1:9" x14ac:dyDescent="0.2">
      <c r="A998" s="65">
        <v>0</v>
      </c>
      <c r="B998" s="92">
        <v>0</v>
      </c>
      <c r="C998" s="93"/>
      <c r="D998" s="94">
        <v>0</v>
      </c>
      <c r="E998" s="96"/>
      <c r="F998" s="97">
        <v>0</v>
      </c>
      <c r="I998" s="119"/>
    </row>
    <row r="999" spans="1:9" ht="15" x14ac:dyDescent="0.25">
      <c r="A999" s="72"/>
      <c r="B999" s="73"/>
      <c r="C999" s="408" t="s">
        <v>172</v>
      </c>
      <c r="D999" s="408"/>
      <c r="E999" s="409"/>
      <c r="F999" s="74">
        <f>+F996</f>
        <v>9011.8449086135661</v>
      </c>
      <c r="H999" s="199">
        <f>+F999/F1006</f>
        <v>0.19823747614790377</v>
      </c>
    </row>
    <row r="1000" spans="1:9" x14ac:dyDescent="0.2">
      <c r="A1000" s="75" t="s">
        <v>173</v>
      </c>
      <c r="B1000" s="76"/>
      <c r="C1000" s="76"/>
      <c r="D1000" s="77"/>
      <c r="E1000" s="78"/>
      <c r="F1000" s="79"/>
    </row>
    <row r="1001" spans="1:9" x14ac:dyDescent="0.2">
      <c r="A1001" s="61" t="s">
        <v>158</v>
      </c>
      <c r="B1001" s="62" t="s">
        <v>159</v>
      </c>
      <c r="C1001" s="62" t="s">
        <v>174</v>
      </c>
      <c r="D1001" s="98" t="s">
        <v>175</v>
      </c>
      <c r="E1001" s="63" t="s">
        <v>165</v>
      </c>
      <c r="F1001" s="64" t="s">
        <v>162</v>
      </c>
    </row>
    <row r="1002" spans="1:9" x14ac:dyDescent="0.2">
      <c r="A1002" s="65">
        <v>0</v>
      </c>
      <c r="B1002" s="66">
        <v>0</v>
      </c>
      <c r="C1002" s="99"/>
      <c r="D1002" s="81"/>
      <c r="E1002" s="83">
        <v>0</v>
      </c>
      <c r="F1002" s="84">
        <v>0</v>
      </c>
    </row>
    <row r="1003" spans="1:9" x14ac:dyDescent="0.2">
      <c r="A1003" s="65">
        <v>0</v>
      </c>
      <c r="B1003" s="66">
        <v>0</v>
      </c>
      <c r="C1003" s="99"/>
      <c r="D1003" s="81"/>
      <c r="E1003" s="83">
        <v>0</v>
      </c>
      <c r="F1003" s="84">
        <v>0</v>
      </c>
    </row>
    <row r="1004" spans="1:9" ht="15" x14ac:dyDescent="0.25">
      <c r="A1004" s="72"/>
      <c r="B1004" s="73"/>
      <c r="C1004" s="408" t="s">
        <v>176</v>
      </c>
      <c r="D1004" s="408"/>
      <c r="E1004" s="409"/>
      <c r="F1004" s="74">
        <v>0</v>
      </c>
    </row>
    <row r="1005" spans="1:9" ht="15" thickBot="1" x14ac:dyDescent="0.25">
      <c r="A1005" s="75"/>
      <c r="B1005" s="76"/>
      <c r="C1005" s="76"/>
      <c r="D1005" s="77"/>
      <c r="E1005" s="78"/>
      <c r="F1005" s="79"/>
    </row>
    <row r="1006" spans="1:9" ht="15.75" thickBot="1" x14ac:dyDescent="0.3">
      <c r="A1006" s="100" t="s">
        <v>177</v>
      </c>
      <c r="B1006" s="101"/>
      <c r="C1006" s="101"/>
      <c r="D1006" s="101"/>
      <c r="E1006" s="102"/>
      <c r="F1006" s="103">
        <f>+F999+F985+F993</f>
        <v>45459.844847348053</v>
      </c>
    </row>
    <row r="1007" spans="1:9" ht="15" x14ac:dyDescent="0.25">
      <c r="A1007" s="104" t="s">
        <v>178</v>
      </c>
      <c r="B1007" s="105"/>
      <c r="C1007" s="105"/>
      <c r="D1007" s="105"/>
      <c r="E1007" s="105"/>
      <c r="F1007" s="106" t="s">
        <v>179</v>
      </c>
    </row>
    <row r="1008" spans="1:9" x14ac:dyDescent="0.2">
      <c r="A1008" s="399" t="s">
        <v>158</v>
      </c>
      <c r="B1008" s="400"/>
      <c r="C1008" s="400"/>
      <c r="D1008" s="400"/>
      <c r="E1008" s="107" t="s">
        <v>144</v>
      </c>
      <c r="F1008" s="108"/>
    </row>
    <row r="1009" spans="1:6" x14ac:dyDescent="0.2">
      <c r="A1009" s="399" t="s">
        <v>180</v>
      </c>
      <c r="B1009" s="400"/>
      <c r="C1009" s="400"/>
      <c r="D1009" s="400"/>
      <c r="E1009" s="109">
        <v>0.23</v>
      </c>
      <c r="F1009" s="108">
        <f>+E1009*F1006</f>
        <v>10455.764314890053</v>
      </c>
    </row>
    <row r="1010" spans="1:6" x14ac:dyDescent="0.2">
      <c r="A1010" s="399" t="s">
        <v>181</v>
      </c>
      <c r="B1010" s="400"/>
      <c r="C1010" s="400"/>
      <c r="D1010" s="400"/>
      <c r="E1010" s="109">
        <v>0.02</v>
      </c>
      <c r="F1010" s="108">
        <f>+E1010*F1006</f>
        <v>909.19689694696103</v>
      </c>
    </row>
    <row r="1011" spans="1:6" x14ac:dyDescent="0.2">
      <c r="A1011" s="399" t="s">
        <v>182</v>
      </c>
      <c r="B1011" s="400"/>
      <c r="C1011" s="400"/>
      <c r="D1011" s="400"/>
      <c r="E1011" s="109">
        <v>0.05</v>
      </c>
      <c r="F1011" s="108">
        <f>+E1011*F1006</f>
        <v>2272.9922423674029</v>
      </c>
    </row>
    <row r="1012" spans="1:6" x14ac:dyDescent="0.2">
      <c r="A1012" s="110" t="s">
        <v>183</v>
      </c>
      <c r="B1012" s="111"/>
      <c r="C1012" s="111"/>
      <c r="D1012" s="111"/>
      <c r="E1012" s="109"/>
      <c r="F1012" s="108">
        <v>0</v>
      </c>
    </row>
    <row r="1013" spans="1:6" ht="15" x14ac:dyDescent="0.2">
      <c r="A1013" s="112"/>
      <c r="B1013" s="113"/>
      <c r="C1013" s="113"/>
      <c r="D1013" s="113"/>
      <c r="E1013" s="114" t="s">
        <v>184</v>
      </c>
      <c r="F1013" s="115">
        <f>+F1009+F1010+F1011</f>
        <v>13637.953454204418</v>
      </c>
    </row>
    <row r="1014" spans="1:6" ht="15.75" thickBot="1" x14ac:dyDescent="0.3">
      <c r="A1014" s="401" t="s">
        <v>185</v>
      </c>
      <c r="B1014" s="402"/>
      <c r="C1014" s="402"/>
      <c r="D1014" s="402"/>
      <c r="E1014" s="402"/>
      <c r="F1014" s="116">
        <f>+F1006+F1013</f>
        <v>59097.798301552473</v>
      </c>
    </row>
    <row r="1015" spans="1:6" x14ac:dyDescent="0.2">
      <c r="A1015" s="41" t="s">
        <v>153</v>
      </c>
      <c r="B1015" s="117" t="s">
        <v>113</v>
      </c>
      <c r="C1015" s="43"/>
      <c r="D1015" s="44"/>
      <c r="E1015" s="45"/>
      <c r="F1015" s="46"/>
    </row>
    <row r="1016" spans="1:6" x14ac:dyDescent="0.2">
      <c r="A1016" s="48" t="s">
        <v>154</v>
      </c>
      <c r="B1016" s="410" t="s">
        <v>114</v>
      </c>
      <c r="C1016" s="411"/>
      <c r="D1016" s="411"/>
      <c r="E1016" s="411"/>
      <c r="F1016" s="412"/>
    </row>
    <row r="1017" spans="1:6" ht="15" thickBot="1" x14ac:dyDescent="0.25">
      <c r="A1017" s="50" t="s">
        <v>156</v>
      </c>
      <c r="B1017" s="51" t="s">
        <v>15</v>
      </c>
      <c r="C1017" s="52"/>
      <c r="D1017" s="53"/>
      <c r="E1017" s="52"/>
      <c r="F1017" s="54"/>
    </row>
    <row r="1018" spans="1:6" x14ac:dyDescent="0.2">
      <c r="A1018" s="55" t="s">
        <v>157</v>
      </c>
      <c r="B1018" s="56"/>
      <c r="C1018" s="57"/>
      <c r="D1018" s="58"/>
      <c r="E1018" s="59"/>
      <c r="F1018" s="60"/>
    </row>
    <row r="1019" spans="1:6" x14ac:dyDescent="0.2">
      <c r="A1019" s="61" t="s">
        <v>158</v>
      </c>
      <c r="B1019" s="62" t="s">
        <v>159</v>
      </c>
      <c r="C1019" s="406" t="s">
        <v>160</v>
      </c>
      <c r="D1019" s="407"/>
      <c r="E1019" s="63" t="s">
        <v>161</v>
      </c>
      <c r="F1019" s="64" t="s">
        <v>162</v>
      </c>
    </row>
    <row r="1020" spans="1:6" x14ac:dyDescent="0.2">
      <c r="A1020" s="65" t="s">
        <v>233</v>
      </c>
      <c r="B1020" s="66" t="s">
        <v>189</v>
      </c>
      <c r="C1020" s="120">
        <f>+Lista_prec_base!C35</f>
        <v>8496</v>
      </c>
      <c r="D1020" s="68"/>
      <c r="E1020" s="69">
        <v>1.5</v>
      </c>
      <c r="F1020" s="70">
        <f>+C1020/E1020</f>
        <v>5664</v>
      </c>
    </row>
    <row r="1021" spans="1:6" x14ac:dyDescent="0.2">
      <c r="A1021" s="65"/>
      <c r="B1021" s="66"/>
      <c r="C1021" s="67"/>
      <c r="D1021" s="68"/>
      <c r="E1021" s="69"/>
      <c r="F1021" s="70"/>
    </row>
    <row r="1022" spans="1:6" x14ac:dyDescent="0.2">
      <c r="A1022" s="65"/>
      <c r="B1022" s="66"/>
      <c r="C1022" s="67">
        <v>0</v>
      </c>
      <c r="D1022" s="68"/>
      <c r="E1022" s="71"/>
      <c r="F1022" s="70">
        <v>0</v>
      </c>
    </row>
    <row r="1023" spans="1:6" x14ac:dyDescent="0.2">
      <c r="A1023" s="65"/>
      <c r="B1023" s="66"/>
      <c r="C1023" s="67">
        <v>0</v>
      </c>
      <c r="D1023" s="68"/>
      <c r="E1023" s="71"/>
      <c r="F1023" s="70">
        <v>0</v>
      </c>
    </row>
    <row r="1024" spans="1:6" ht="15" x14ac:dyDescent="0.25">
      <c r="A1024" s="72"/>
      <c r="B1024" s="73"/>
      <c r="C1024" s="408" t="s">
        <v>163</v>
      </c>
      <c r="D1024" s="408"/>
      <c r="E1024" s="409"/>
      <c r="F1024" s="74">
        <f>SUM(F1020:F1023)</f>
        <v>5664</v>
      </c>
    </row>
    <row r="1025" spans="1:9" x14ac:dyDescent="0.2">
      <c r="A1025" s="75" t="s">
        <v>164</v>
      </c>
      <c r="B1025" s="76"/>
      <c r="C1025" s="76"/>
      <c r="D1025" s="77"/>
      <c r="E1025" s="78"/>
      <c r="F1025" s="79"/>
    </row>
    <row r="1026" spans="1:9" x14ac:dyDescent="0.2">
      <c r="A1026" s="61" t="s">
        <v>158</v>
      </c>
      <c r="B1026" s="62" t="s">
        <v>159</v>
      </c>
      <c r="C1026" s="406" t="s">
        <v>7</v>
      </c>
      <c r="D1026" s="407"/>
      <c r="E1026" s="63" t="s">
        <v>165</v>
      </c>
      <c r="F1026" s="64" t="s">
        <v>162</v>
      </c>
    </row>
    <row r="1027" spans="1:9" x14ac:dyDescent="0.2">
      <c r="A1027" s="85" t="s">
        <v>237</v>
      </c>
      <c r="B1027" s="66" t="s">
        <v>15</v>
      </c>
      <c r="C1027" s="86">
        <v>1</v>
      </c>
      <c r="D1027" s="82"/>
      <c r="E1027" s="83">
        <v>364586.19289340102</v>
      </c>
      <c r="F1027" s="84">
        <f>+C1027*E1027</f>
        <v>364586.19289340102</v>
      </c>
    </row>
    <row r="1028" spans="1:9" x14ac:dyDescent="0.2">
      <c r="A1028" s="85">
        <v>0</v>
      </c>
      <c r="B1028" s="66">
        <v>0</v>
      </c>
      <c r="C1028" s="86"/>
      <c r="D1028" s="82"/>
      <c r="E1028" s="83">
        <v>0</v>
      </c>
      <c r="F1028" s="84">
        <v>0</v>
      </c>
    </row>
    <row r="1029" spans="1:9" x14ac:dyDescent="0.2">
      <c r="A1029" s="65">
        <v>0</v>
      </c>
      <c r="B1029" s="66">
        <v>0</v>
      </c>
      <c r="C1029" s="87"/>
      <c r="D1029" s="82"/>
      <c r="E1029" s="83">
        <v>0</v>
      </c>
      <c r="F1029" s="84">
        <v>0</v>
      </c>
    </row>
    <row r="1030" spans="1:9" x14ac:dyDescent="0.2">
      <c r="A1030" s="65">
        <v>0</v>
      </c>
      <c r="B1030" s="66">
        <v>0</v>
      </c>
      <c r="C1030" s="87"/>
      <c r="D1030" s="82"/>
      <c r="E1030" s="83">
        <v>0</v>
      </c>
      <c r="F1030" s="84">
        <v>0</v>
      </c>
    </row>
    <row r="1031" spans="1:9" x14ac:dyDescent="0.2">
      <c r="A1031" s="65">
        <v>0</v>
      </c>
      <c r="B1031" s="66">
        <v>0</v>
      </c>
      <c r="C1031" s="87"/>
      <c r="D1031" s="82"/>
      <c r="E1031" s="83">
        <v>0</v>
      </c>
      <c r="F1031" s="84">
        <v>0</v>
      </c>
    </row>
    <row r="1032" spans="1:9" ht="15" x14ac:dyDescent="0.25">
      <c r="A1032" s="72"/>
      <c r="B1032" s="73"/>
      <c r="C1032" s="408" t="s">
        <v>167</v>
      </c>
      <c r="D1032" s="408"/>
      <c r="E1032" s="409"/>
      <c r="F1032" s="74">
        <f>+F1027</f>
        <v>364586.19289340102</v>
      </c>
    </row>
    <row r="1033" spans="1:9" x14ac:dyDescent="0.2">
      <c r="A1033" s="72" t="s">
        <v>168</v>
      </c>
      <c r="B1033" s="73"/>
      <c r="C1033" s="73"/>
      <c r="D1033" s="88"/>
      <c r="E1033" s="89"/>
      <c r="F1033" s="90"/>
    </row>
    <row r="1034" spans="1:9" x14ac:dyDescent="0.2">
      <c r="A1034" s="61" t="s">
        <v>158</v>
      </c>
      <c r="B1034" s="62" t="s">
        <v>159</v>
      </c>
      <c r="C1034" s="62" t="s">
        <v>169</v>
      </c>
      <c r="D1034" s="91" t="s">
        <v>170</v>
      </c>
      <c r="E1034" s="63" t="s">
        <v>161</v>
      </c>
      <c r="F1034" s="64" t="s">
        <v>171</v>
      </c>
    </row>
    <row r="1035" spans="1:9" x14ac:dyDescent="0.2">
      <c r="A1035" s="65" t="s">
        <v>190</v>
      </c>
      <c r="B1035" s="92" t="s">
        <v>191</v>
      </c>
      <c r="C1035" s="93">
        <v>1.65</v>
      </c>
      <c r="D1035" s="94">
        <f>+Lista_prec_base!C43</f>
        <v>67000</v>
      </c>
      <c r="E1035" s="95">
        <v>9.85</v>
      </c>
      <c r="F1035" s="70">
        <f>+C1035*D1035/E1035</f>
        <v>11223.350253807106</v>
      </c>
    </row>
    <row r="1036" spans="1:9" x14ac:dyDescent="0.2">
      <c r="A1036" s="65">
        <v>0</v>
      </c>
      <c r="B1036" s="92">
        <v>0</v>
      </c>
      <c r="C1036" s="93"/>
      <c r="D1036" s="94">
        <v>0</v>
      </c>
      <c r="E1036" s="96"/>
      <c r="F1036" s="97">
        <v>0</v>
      </c>
    </row>
    <row r="1037" spans="1:9" x14ac:dyDescent="0.2">
      <c r="A1037" s="65">
        <v>0</v>
      </c>
      <c r="B1037" s="92">
        <v>0</v>
      </c>
      <c r="C1037" s="93"/>
      <c r="D1037" s="94">
        <v>0</v>
      </c>
      <c r="E1037" s="96"/>
      <c r="F1037" s="97">
        <v>0</v>
      </c>
      <c r="I1037" s="119"/>
    </row>
    <row r="1038" spans="1:9" ht="15" x14ac:dyDescent="0.25">
      <c r="A1038" s="72"/>
      <c r="B1038" s="73"/>
      <c r="C1038" s="408" t="s">
        <v>172</v>
      </c>
      <c r="D1038" s="408"/>
      <c r="E1038" s="409"/>
      <c r="F1038" s="74">
        <f>+F1035</f>
        <v>11223.350253807106</v>
      </c>
    </row>
    <row r="1039" spans="1:9" x14ac:dyDescent="0.2">
      <c r="A1039" s="75" t="s">
        <v>173</v>
      </c>
      <c r="B1039" s="76"/>
      <c r="C1039" s="76"/>
      <c r="D1039" s="77"/>
      <c r="E1039" s="78"/>
      <c r="F1039" s="79"/>
    </row>
    <row r="1040" spans="1:9" x14ac:dyDescent="0.2">
      <c r="A1040" s="61" t="s">
        <v>158</v>
      </c>
      <c r="B1040" s="62" t="s">
        <v>159</v>
      </c>
      <c r="C1040" s="62" t="s">
        <v>174</v>
      </c>
      <c r="D1040" s="98" t="s">
        <v>175</v>
      </c>
      <c r="E1040" s="63" t="s">
        <v>165</v>
      </c>
      <c r="F1040" s="64" t="s">
        <v>162</v>
      </c>
    </row>
    <row r="1041" spans="1:6" x14ac:dyDescent="0.2">
      <c r="A1041" s="65">
        <v>0</v>
      </c>
      <c r="B1041" s="66">
        <v>0</v>
      </c>
      <c r="C1041" s="99"/>
      <c r="D1041" s="81"/>
      <c r="E1041" s="83">
        <v>0</v>
      </c>
      <c r="F1041" s="84">
        <v>0</v>
      </c>
    </row>
    <row r="1042" spans="1:6" x14ac:dyDescent="0.2">
      <c r="A1042" s="65">
        <v>0</v>
      </c>
      <c r="B1042" s="66">
        <v>0</v>
      </c>
      <c r="C1042" s="99"/>
      <c r="D1042" s="81"/>
      <c r="E1042" s="83">
        <v>0</v>
      </c>
      <c r="F1042" s="84">
        <v>0</v>
      </c>
    </row>
    <row r="1043" spans="1:6" ht="15" x14ac:dyDescent="0.25">
      <c r="A1043" s="72"/>
      <c r="B1043" s="73"/>
      <c r="C1043" s="408" t="s">
        <v>176</v>
      </c>
      <c r="D1043" s="408"/>
      <c r="E1043" s="409"/>
      <c r="F1043" s="74">
        <v>0</v>
      </c>
    </row>
    <row r="1044" spans="1:6" ht="15" thickBot="1" x14ac:dyDescent="0.25">
      <c r="A1044" s="75"/>
      <c r="B1044" s="76"/>
      <c r="C1044" s="76"/>
      <c r="D1044" s="77"/>
      <c r="E1044" s="78"/>
      <c r="F1044" s="79"/>
    </row>
    <row r="1045" spans="1:6" ht="15.75" thickBot="1" x14ac:dyDescent="0.3">
      <c r="A1045" s="100" t="s">
        <v>177</v>
      </c>
      <c r="B1045" s="101"/>
      <c r="C1045" s="101"/>
      <c r="D1045" s="101"/>
      <c r="E1045" s="102"/>
      <c r="F1045" s="103">
        <f>+F1038+F1024+F1032</f>
        <v>381473.54314720811</v>
      </c>
    </row>
    <row r="1046" spans="1:6" ht="15" x14ac:dyDescent="0.25">
      <c r="A1046" s="104" t="s">
        <v>178</v>
      </c>
      <c r="B1046" s="105"/>
      <c r="C1046" s="105"/>
      <c r="D1046" s="105"/>
      <c r="E1046" s="105"/>
      <c r="F1046" s="106" t="s">
        <v>179</v>
      </c>
    </row>
    <row r="1047" spans="1:6" x14ac:dyDescent="0.2">
      <c r="A1047" s="399" t="s">
        <v>158</v>
      </c>
      <c r="B1047" s="400"/>
      <c r="C1047" s="400"/>
      <c r="D1047" s="400"/>
      <c r="E1047" s="107" t="s">
        <v>144</v>
      </c>
      <c r="F1047" s="108"/>
    </row>
    <row r="1048" spans="1:6" x14ac:dyDescent="0.2">
      <c r="A1048" s="399" t="s">
        <v>180</v>
      </c>
      <c r="B1048" s="400"/>
      <c r="C1048" s="400"/>
      <c r="D1048" s="400"/>
      <c r="E1048" s="109">
        <v>0.23</v>
      </c>
      <c r="F1048" s="108">
        <f>+E1048*F1045</f>
        <v>87738.914923857868</v>
      </c>
    </row>
    <row r="1049" spans="1:6" x14ac:dyDescent="0.2">
      <c r="A1049" s="399" t="s">
        <v>181</v>
      </c>
      <c r="B1049" s="400"/>
      <c r="C1049" s="400"/>
      <c r="D1049" s="400"/>
      <c r="E1049" s="109">
        <v>0.02</v>
      </c>
      <c r="F1049" s="108">
        <f>+E1049*F1045</f>
        <v>7629.470862944162</v>
      </c>
    </row>
    <row r="1050" spans="1:6" x14ac:dyDescent="0.2">
      <c r="A1050" s="399" t="s">
        <v>182</v>
      </c>
      <c r="B1050" s="400"/>
      <c r="C1050" s="400"/>
      <c r="D1050" s="400"/>
      <c r="E1050" s="109">
        <v>0.05</v>
      </c>
      <c r="F1050" s="108">
        <f>+E1050*F1045</f>
        <v>19073.677157360406</v>
      </c>
    </row>
    <row r="1051" spans="1:6" x14ac:dyDescent="0.2">
      <c r="A1051" s="110" t="s">
        <v>183</v>
      </c>
      <c r="B1051" s="111"/>
      <c r="C1051" s="111"/>
      <c r="D1051" s="111"/>
      <c r="E1051" s="109"/>
      <c r="F1051" s="108">
        <v>0</v>
      </c>
    </row>
    <row r="1052" spans="1:6" ht="15" x14ac:dyDescent="0.2">
      <c r="A1052" s="112"/>
      <c r="B1052" s="113"/>
      <c r="C1052" s="113"/>
      <c r="D1052" s="113"/>
      <c r="E1052" s="114" t="s">
        <v>184</v>
      </c>
      <c r="F1052" s="115">
        <f>+F1048+F1049+F1050</f>
        <v>114442.06294416243</v>
      </c>
    </row>
    <row r="1053" spans="1:6" ht="15.75" thickBot="1" x14ac:dyDescent="0.3">
      <c r="A1053" s="401" t="s">
        <v>185</v>
      </c>
      <c r="B1053" s="402"/>
      <c r="C1053" s="402"/>
      <c r="D1053" s="402"/>
      <c r="E1053" s="402"/>
      <c r="F1053" s="116">
        <f>+F1045+F1052</f>
        <v>495915.60609137057</v>
      </c>
    </row>
    <row r="1054" spans="1:6" x14ac:dyDescent="0.2">
      <c r="A1054" s="41" t="s">
        <v>153</v>
      </c>
      <c r="B1054" s="117" t="s">
        <v>221</v>
      </c>
      <c r="C1054" s="43"/>
      <c r="D1054" s="44"/>
      <c r="E1054" s="45"/>
      <c r="F1054" s="46"/>
    </row>
    <row r="1055" spans="1:6" x14ac:dyDescent="0.2">
      <c r="A1055" s="48" t="s">
        <v>154</v>
      </c>
      <c r="B1055" s="403" t="s">
        <v>192</v>
      </c>
      <c r="C1055" s="404"/>
      <c r="D1055" s="404"/>
      <c r="E1055" s="404"/>
      <c r="F1055" s="405"/>
    </row>
    <row r="1056" spans="1:6" ht="15" thickBot="1" x14ac:dyDescent="0.25">
      <c r="A1056" s="50" t="s">
        <v>156</v>
      </c>
      <c r="B1056" s="51" t="s">
        <v>15</v>
      </c>
      <c r="C1056" s="52"/>
      <c r="D1056" s="53"/>
      <c r="E1056" s="52"/>
      <c r="F1056" s="54"/>
    </row>
    <row r="1057" spans="1:6" x14ac:dyDescent="0.2">
      <c r="A1057" s="55" t="s">
        <v>157</v>
      </c>
      <c r="B1057" s="56"/>
      <c r="C1057" s="57"/>
      <c r="D1057" s="58"/>
      <c r="E1057" s="59"/>
      <c r="F1057" s="60"/>
    </row>
    <row r="1058" spans="1:6" x14ac:dyDescent="0.2">
      <c r="A1058" s="61" t="s">
        <v>158</v>
      </c>
      <c r="B1058" s="62" t="s">
        <v>159</v>
      </c>
      <c r="C1058" s="406" t="s">
        <v>160</v>
      </c>
      <c r="D1058" s="407"/>
      <c r="E1058" s="63" t="s">
        <v>161</v>
      </c>
      <c r="F1058" s="64" t="s">
        <v>162</v>
      </c>
    </row>
    <row r="1059" spans="1:6" x14ac:dyDescent="0.2">
      <c r="A1059" s="65" t="s">
        <v>193</v>
      </c>
      <c r="B1059" s="66" t="s">
        <v>189</v>
      </c>
      <c r="C1059" s="67">
        <f>+Lista_prec_base!C35</f>
        <v>8496</v>
      </c>
      <c r="D1059" s="68"/>
      <c r="E1059" s="69">
        <v>0.8</v>
      </c>
      <c r="F1059" s="70">
        <f>+C1059/E1059</f>
        <v>10620</v>
      </c>
    </row>
    <row r="1060" spans="1:6" x14ac:dyDescent="0.2">
      <c r="A1060" s="65" t="s">
        <v>194</v>
      </c>
      <c r="B1060" s="66" t="s">
        <v>189</v>
      </c>
      <c r="C1060" s="67">
        <f>+Lista_prec_base!C39</f>
        <v>25000</v>
      </c>
      <c r="D1060" s="68"/>
      <c r="E1060" s="69">
        <v>0.4</v>
      </c>
      <c r="F1060" s="70">
        <f>+C1060/E1060</f>
        <v>62500</v>
      </c>
    </row>
    <row r="1061" spans="1:6" x14ac:dyDescent="0.2">
      <c r="A1061" s="65">
        <v>0</v>
      </c>
      <c r="B1061" s="66">
        <v>0</v>
      </c>
      <c r="C1061" s="67">
        <v>0</v>
      </c>
      <c r="D1061" s="68"/>
      <c r="E1061" s="71"/>
      <c r="F1061" s="70">
        <v>0</v>
      </c>
    </row>
    <row r="1062" spans="1:6" x14ac:dyDescent="0.2">
      <c r="A1062" s="65">
        <v>0</v>
      </c>
      <c r="B1062" s="66">
        <v>0</v>
      </c>
      <c r="C1062" s="67">
        <v>0</v>
      </c>
      <c r="D1062" s="68"/>
      <c r="E1062" s="71"/>
      <c r="F1062" s="70">
        <v>0</v>
      </c>
    </row>
    <row r="1063" spans="1:6" ht="15" x14ac:dyDescent="0.25">
      <c r="A1063" s="72"/>
      <c r="B1063" s="73"/>
      <c r="C1063" s="408" t="s">
        <v>163</v>
      </c>
      <c r="D1063" s="408"/>
      <c r="E1063" s="409"/>
      <c r="F1063" s="74">
        <f>SUM(F1059:F1062)</f>
        <v>73120</v>
      </c>
    </row>
    <row r="1064" spans="1:6" x14ac:dyDescent="0.2">
      <c r="A1064" s="75" t="s">
        <v>164</v>
      </c>
      <c r="B1064" s="76"/>
      <c r="C1064" s="76"/>
      <c r="D1064" s="77"/>
      <c r="E1064" s="78"/>
      <c r="F1064" s="79"/>
    </row>
    <row r="1065" spans="1:6" x14ac:dyDescent="0.2">
      <c r="A1065" s="61" t="s">
        <v>158</v>
      </c>
      <c r="B1065" s="62" t="s">
        <v>159</v>
      </c>
      <c r="C1065" s="406" t="s">
        <v>7</v>
      </c>
      <c r="D1065" s="407"/>
      <c r="E1065" s="63" t="s">
        <v>165</v>
      </c>
      <c r="F1065" s="64" t="s">
        <v>162</v>
      </c>
    </row>
    <row r="1066" spans="1:6" x14ac:dyDescent="0.2">
      <c r="A1066" s="80" t="s">
        <v>195</v>
      </c>
      <c r="B1066" s="66" t="s">
        <v>196</v>
      </c>
      <c r="C1066" s="81">
        <v>0.25</v>
      </c>
      <c r="D1066" s="82"/>
      <c r="E1066" s="83">
        <f>+Lista_prec_base!C23</f>
        <v>350000</v>
      </c>
      <c r="F1066" s="84">
        <f>+E1066*C1066</f>
        <v>87500</v>
      </c>
    </row>
    <row r="1067" spans="1:6" x14ac:dyDescent="0.2">
      <c r="A1067" s="85" t="s">
        <v>197</v>
      </c>
      <c r="B1067" s="66" t="s">
        <v>196</v>
      </c>
      <c r="C1067" s="81">
        <f>0.6*0.6*3.1416*0.25*2</f>
        <v>0.56548799999999999</v>
      </c>
      <c r="D1067" s="82"/>
      <c r="E1067" s="83">
        <f>+Lista_prec_base!C24</f>
        <v>450000</v>
      </c>
      <c r="F1067" s="84">
        <f>+E1067*C1067</f>
        <v>254469.6</v>
      </c>
    </row>
    <row r="1068" spans="1:6" x14ac:dyDescent="0.2">
      <c r="A1068" s="65" t="s">
        <v>198</v>
      </c>
      <c r="B1068" s="66" t="s">
        <v>196</v>
      </c>
      <c r="C1068" s="81">
        <v>6</v>
      </c>
      <c r="D1068" s="82"/>
      <c r="E1068" s="83">
        <f>+Lista_prec_base!C25</f>
        <v>43083.170242852386</v>
      </c>
      <c r="F1068" s="84">
        <f t="shared" ref="F1068:F1072" si="0">+E1068*C1068</f>
        <v>258499.02145711432</v>
      </c>
    </row>
    <row r="1069" spans="1:6" x14ac:dyDescent="0.2">
      <c r="A1069" s="65" t="s">
        <v>199</v>
      </c>
      <c r="B1069" s="66" t="s">
        <v>159</v>
      </c>
      <c r="C1069" s="81">
        <v>1077</v>
      </c>
      <c r="D1069" s="82"/>
      <c r="E1069" s="83">
        <f>+Lista_prec_base!C26</f>
        <v>650</v>
      </c>
      <c r="F1069" s="84">
        <f t="shared" si="0"/>
        <v>700050</v>
      </c>
    </row>
    <row r="1070" spans="1:6" x14ac:dyDescent="0.2">
      <c r="A1070" s="65" t="s">
        <v>200</v>
      </c>
      <c r="B1070" s="66" t="s">
        <v>201</v>
      </c>
      <c r="C1070" s="81">
        <v>25</v>
      </c>
      <c r="D1070" s="82"/>
      <c r="E1070" s="83">
        <f>+Lista_prec_base!C27</f>
        <v>3842.5530216598077</v>
      </c>
      <c r="F1070" s="84">
        <f t="shared" si="0"/>
        <v>96063.825541495185</v>
      </c>
    </row>
    <row r="1071" spans="1:6" x14ac:dyDescent="0.2">
      <c r="A1071" s="65" t="s">
        <v>202</v>
      </c>
      <c r="B1071" s="66" t="s">
        <v>201</v>
      </c>
      <c r="C1071" s="81">
        <v>3.5</v>
      </c>
      <c r="D1071" s="82"/>
      <c r="E1071" s="83">
        <f>+Lista_prec_base!C28</f>
        <v>52398.450295361014</v>
      </c>
      <c r="F1071" s="84">
        <f t="shared" si="0"/>
        <v>183394.57603376356</v>
      </c>
    </row>
    <row r="1072" spans="1:6" x14ac:dyDescent="0.2">
      <c r="A1072" s="65" t="s">
        <v>203</v>
      </c>
      <c r="B1072" s="66" t="s">
        <v>159</v>
      </c>
      <c r="C1072" s="81">
        <v>1</v>
      </c>
      <c r="D1072" s="82"/>
      <c r="E1072" s="83">
        <f>+Lista_prec_base!C22</f>
        <v>380000</v>
      </c>
      <c r="F1072" s="84">
        <f t="shared" si="0"/>
        <v>380000</v>
      </c>
    </row>
    <row r="1073" spans="1:9" ht="15" x14ac:dyDescent="0.25">
      <c r="A1073" s="72"/>
      <c r="B1073" s="73"/>
      <c r="C1073" s="408" t="s">
        <v>167</v>
      </c>
      <c r="D1073" s="408"/>
      <c r="E1073" s="409"/>
      <c r="F1073" s="74">
        <f>SUM(F1066:F1072)</f>
        <v>1959977.0230323731</v>
      </c>
    </row>
    <row r="1074" spans="1:9" x14ac:dyDescent="0.2">
      <c r="A1074" s="72" t="s">
        <v>168</v>
      </c>
      <c r="B1074" s="73"/>
      <c r="C1074" s="73"/>
      <c r="D1074" s="88"/>
      <c r="E1074" s="89"/>
      <c r="F1074" s="90"/>
    </row>
    <row r="1075" spans="1:9" x14ac:dyDescent="0.2">
      <c r="A1075" s="61" t="s">
        <v>158</v>
      </c>
      <c r="B1075" s="62" t="s">
        <v>159</v>
      </c>
      <c r="C1075" s="62" t="s">
        <v>169</v>
      </c>
      <c r="D1075" s="91" t="s">
        <v>170</v>
      </c>
      <c r="E1075" s="63"/>
      <c r="F1075" s="64" t="s">
        <v>171</v>
      </c>
    </row>
    <row r="1076" spans="1:9" x14ac:dyDescent="0.2">
      <c r="A1076" s="65" t="s">
        <v>190</v>
      </c>
      <c r="B1076" s="92" t="s">
        <v>191</v>
      </c>
      <c r="C1076" s="93">
        <v>1.65</v>
      </c>
      <c r="D1076" s="94">
        <f>+Lista_prec_base!C43</f>
        <v>67000</v>
      </c>
      <c r="E1076" s="95">
        <v>0.123172631128158</v>
      </c>
      <c r="F1076" s="70">
        <v>881003.75063915225</v>
      </c>
    </row>
    <row r="1077" spans="1:9" x14ac:dyDescent="0.2">
      <c r="A1077" s="65">
        <v>0</v>
      </c>
      <c r="B1077" s="92">
        <v>0</v>
      </c>
      <c r="C1077" s="93"/>
      <c r="D1077" s="94">
        <v>0</v>
      </c>
      <c r="E1077" s="96"/>
      <c r="F1077" s="97">
        <v>0</v>
      </c>
    </row>
    <row r="1078" spans="1:9" x14ac:dyDescent="0.2">
      <c r="A1078" s="65">
        <v>0</v>
      </c>
      <c r="B1078" s="92">
        <v>0</v>
      </c>
      <c r="C1078" s="93"/>
      <c r="D1078" s="94">
        <v>0</v>
      </c>
      <c r="E1078" s="96"/>
      <c r="F1078" s="97">
        <v>0</v>
      </c>
    </row>
    <row r="1079" spans="1:9" ht="15" x14ac:dyDescent="0.25">
      <c r="A1079" s="72"/>
      <c r="B1079" s="73"/>
      <c r="C1079" s="408" t="s">
        <v>172</v>
      </c>
      <c r="D1079" s="408"/>
      <c r="E1079" s="409"/>
      <c r="F1079" s="74">
        <f>+F1076</f>
        <v>881003.75063915225</v>
      </c>
      <c r="I1079" s="199">
        <f>+F1079/F1086</f>
        <v>0.30232439406313344</v>
      </c>
    </row>
    <row r="1080" spans="1:9" x14ac:dyDescent="0.2">
      <c r="A1080" s="75" t="s">
        <v>173</v>
      </c>
      <c r="B1080" s="76"/>
      <c r="C1080" s="76"/>
      <c r="D1080" s="77"/>
      <c r="E1080" s="78"/>
      <c r="F1080" s="79"/>
    </row>
    <row r="1081" spans="1:9" x14ac:dyDescent="0.2">
      <c r="A1081" s="61" t="s">
        <v>158</v>
      </c>
      <c r="B1081" s="62" t="s">
        <v>159</v>
      </c>
      <c r="C1081" s="62" t="s">
        <v>174</v>
      </c>
      <c r="D1081" s="98" t="s">
        <v>175</v>
      </c>
      <c r="E1081" s="63" t="s">
        <v>165</v>
      </c>
      <c r="F1081" s="64" t="s">
        <v>162</v>
      </c>
    </row>
    <row r="1082" spans="1:9" x14ac:dyDescent="0.2">
      <c r="A1082" s="65">
        <v>0</v>
      </c>
      <c r="B1082" s="66">
        <v>0</v>
      </c>
      <c r="C1082" s="99"/>
      <c r="D1082" s="81"/>
      <c r="E1082" s="83">
        <v>0</v>
      </c>
      <c r="F1082" s="84">
        <v>0</v>
      </c>
    </row>
    <row r="1083" spans="1:9" x14ac:dyDescent="0.2">
      <c r="A1083" s="65">
        <v>0</v>
      </c>
      <c r="B1083" s="66">
        <v>0</v>
      </c>
      <c r="C1083" s="99"/>
      <c r="D1083" s="81"/>
      <c r="E1083" s="83">
        <v>0</v>
      </c>
      <c r="F1083" s="84">
        <v>0</v>
      </c>
    </row>
    <row r="1084" spans="1:9" ht="15" x14ac:dyDescent="0.25">
      <c r="A1084" s="72"/>
      <c r="B1084" s="73"/>
      <c r="C1084" s="408" t="s">
        <v>176</v>
      </c>
      <c r="D1084" s="408"/>
      <c r="E1084" s="409"/>
      <c r="F1084" s="74">
        <v>0</v>
      </c>
    </row>
    <row r="1085" spans="1:9" ht="15" thickBot="1" x14ac:dyDescent="0.25">
      <c r="A1085" s="75"/>
      <c r="B1085" s="76"/>
      <c r="C1085" s="76"/>
      <c r="D1085" s="77"/>
      <c r="E1085" s="78"/>
      <c r="F1085" s="79"/>
    </row>
    <row r="1086" spans="1:9" ht="15.75" thickBot="1" x14ac:dyDescent="0.3">
      <c r="A1086" s="100" t="s">
        <v>177</v>
      </c>
      <c r="B1086" s="101"/>
      <c r="C1086" s="101"/>
      <c r="D1086" s="101"/>
      <c r="E1086" s="102"/>
      <c r="F1086" s="103">
        <f>+F1063+F1073+F1079</f>
        <v>2914100.7736715255</v>
      </c>
    </row>
    <row r="1087" spans="1:9" ht="15" x14ac:dyDescent="0.25">
      <c r="A1087" s="104" t="s">
        <v>178</v>
      </c>
      <c r="B1087" s="105"/>
      <c r="C1087" s="105"/>
      <c r="D1087" s="105"/>
      <c r="E1087" s="105"/>
      <c r="F1087" s="106" t="s">
        <v>179</v>
      </c>
    </row>
    <row r="1088" spans="1:9" x14ac:dyDescent="0.2">
      <c r="A1088" s="399" t="s">
        <v>158</v>
      </c>
      <c r="B1088" s="400"/>
      <c r="C1088" s="400"/>
      <c r="D1088" s="400"/>
      <c r="E1088" s="107" t="s">
        <v>144</v>
      </c>
      <c r="F1088" s="108"/>
    </row>
    <row r="1089" spans="1:6" x14ac:dyDescent="0.2">
      <c r="A1089" s="399" t="s">
        <v>180</v>
      </c>
      <c r="B1089" s="400"/>
      <c r="C1089" s="400"/>
      <c r="D1089" s="400"/>
      <c r="E1089" s="109">
        <v>0.23</v>
      </c>
      <c r="F1089" s="108">
        <f>+E1089*F1086</f>
        <v>670243.17794445087</v>
      </c>
    </row>
    <row r="1090" spans="1:6" x14ac:dyDescent="0.2">
      <c r="A1090" s="399" t="s">
        <v>181</v>
      </c>
      <c r="B1090" s="400"/>
      <c r="C1090" s="400"/>
      <c r="D1090" s="400"/>
      <c r="E1090" s="109">
        <v>0.02</v>
      </c>
      <c r="F1090" s="108">
        <f>+E1090*F1086</f>
        <v>58282.015473430511</v>
      </c>
    </row>
    <row r="1091" spans="1:6" x14ac:dyDescent="0.2">
      <c r="A1091" s="399" t="s">
        <v>182</v>
      </c>
      <c r="B1091" s="400"/>
      <c r="C1091" s="400"/>
      <c r="D1091" s="400"/>
      <c r="E1091" s="109">
        <v>0.05</v>
      </c>
      <c r="F1091" s="108">
        <f>+E1091*F1086</f>
        <v>145705.03868357628</v>
      </c>
    </row>
    <row r="1092" spans="1:6" x14ac:dyDescent="0.2">
      <c r="A1092" s="110" t="s">
        <v>183</v>
      </c>
      <c r="B1092" s="111"/>
      <c r="C1092" s="111"/>
      <c r="D1092" s="111"/>
      <c r="E1092" s="109"/>
      <c r="F1092" s="108">
        <v>0</v>
      </c>
    </row>
    <row r="1093" spans="1:6" ht="15" x14ac:dyDescent="0.2">
      <c r="A1093" s="112"/>
      <c r="B1093" s="113"/>
      <c r="C1093" s="113"/>
      <c r="D1093" s="113"/>
      <c r="E1093" s="114" t="s">
        <v>184</v>
      </c>
      <c r="F1093" s="115">
        <f>+F1089+F1090+F1091</f>
        <v>874230.23210145766</v>
      </c>
    </row>
    <row r="1094" spans="1:6" ht="15.75" thickBot="1" x14ac:dyDescent="0.3">
      <c r="A1094" s="401" t="s">
        <v>185</v>
      </c>
      <c r="B1094" s="402"/>
      <c r="C1094" s="402"/>
      <c r="D1094" s="402"/>
      <c r="E1094" s="402"/>
      <c r="F1094" s="116">
        <f>+F1086+F1093</f>
        <v>3788331.0057729832</v>
      </c>
    </row>
    <row r="1095" spans="1:6" x14ac:dyDescent="0.2">
      <c r="A1095" s="41" t="s">
        <v>153</v>
      </c>
      <c r="B1095" s="117" t="s">
        <v>222</v>
      </c>
      <c r="C1095" s="43"/>
      <c r="D1095" s="44"/>
      <c r="E1095" s="45"/>
      <c r="F1095" s="46"/>
    </row>
    <row r="1096" spans="1:6" x14ac:dyDescent="0.2">
      <c r="A1096" s="48" t="s">
        <v>154</v>
      </c>
      <c r="B1096" s="403" t="s">
        <v>204</v>
      </c>
      <c r="C1096" s="404"/>
      <c r="D1096" s="404"/>
      <c r="E1096" s="404"/>
      <c r="F1096" s="405"/>
    </row>
    <row r="1097" spans="1:6" ht="15" thickBot="1" x14ac:dyDescent="0.25">
      <c r="A1097" s="50" t="s">
        <v>156</v>
      </c>
      <c r="B1097" s="51" t="s">
        <v>15</v>
      </c>
      <c r="C1097" s="52"/>
      <c r="D1097" s="53"/>
      <c r="E1097" s="52"/>
      <c r="F1097" s="54"/>
    </row>
    <row r="1098" spans="1:6" x14ac:dyDescent="0.2">
      <c r="A1098" s="55" t="s">
        <v>157</v>
      </c>
      <c r="B1098" s="56"/>
      <c r="C1098" s="57"/>
      <c r="D1098" s="58"/>
      <c r="E1098" s="59"/>
      <c r="F1098" s="60"/>
    </row>
    <row r="1099" spans="1:6" x14ac:dyDescent="0.2">
      <c r="A1099" s="61" t="s">
        <v>158</v>
      </c>
      <c r="B1099" s="62" t="s">
        <v>159</v>
      </c>
      <c r="C1099" s="406" t="s">
        <v>160</v>
      </c>
      <c r="D1099" s="407"/>
      <c r="E1099" s="63" t="s">
        <v>161</v>
      </c>
      <c r="F1099" s="64" t="s">
        <v>162</v>
      </c>
    </row>
    <row r="1100" spans="1:6" x14ac:dyDescent="0.2">
      <c r="A1100" s="65" t="s">
        <v>193</v>
      </c>
      <c r="B1100" s="66" t="s">
        <v>189</v>
      </c>
      <c r="C1100" s="67">
        <f>+Lista_prec_base!C35</f>
        <v>8496</v>
      </c>
      <c r="D1100" s="68"/>
      <c r="E1100" s="69">
        <v>0.8</v>
      </c>
      <c r="F1100" s="70">
        <f>+C1100/E1100</f>
        <v>10620</v>
      </c>
    </row>
    <row r="1101" spans="1:6" x14ac:dyDescent="0.2">
      <c r="A1101" s="65" t="s">
        <v>194</v>
      </c>
      <c r="B1101" s="66" t="s">
        <v>189</v>
      </c>
      <c r="C1101" s="67">
        <f>+Lista_prec_base!C39</f>
        <v>25000</v>
      </c>
      <c r="D1101" s="68"/>
      <c r="E1101" s="69">
        <v>0.35</v>
      </c>
      <c r="F1101" s="70">
        <f>+C1101/E1101</f>
        <v>71428.571428571435</v>
      </c>
    </row>
    <row r="1102" spans="1:6" x14ac:dyDescent="0.2">
      <c r="A1102" s="65">
        <v>0</v>
      </c>
      <c r="B1102" s="66">
        <v>0</v>
      </c>
      <c r="C1102" s="67">
        <v>0</v>
      </c>
      <c r="D1102" s="68"/>
      <c r="E1102" s="71"/>
      <c r="F1102" s="70">
        <v>0</v>
      </c>
    </row>
    <row r="1103" spans="1:6" x14ac:dyDescent="0.2">
      <c r="A1103" s="65">
        <v>0</v>
      </c>
      <c r="B1103" s="66">
        <v>0</v>
      </c>
      <c r="C1103" s="67">
        <v>0</v>
      </c>
      <c r="D1103" s="68"/>
      <c r="E1103" s="71"/>
      <c r="F1103" s="70">
        <v>0</v>
      </c>
    </row>
    <row r="1104" spans="1:6" ht="15" x14ac:dyDescent="0.25">
      <c r="A1104" s="72"/>
      <c r="B1104" s="73"/>
      <c r="C1104" s="408" t="s">
        <v>163</v>
      </c>
      <c r="D1104" s="408"/>
      <c r="E1104" s="409"/>
      <c r="F1104" s="74">
        <f>SUM(F1100:F1103)</f>
        <v>82048.571428571435</v>
      </c>
    </row>
    <row r="1105" spans="1:6" x14ac:dyDescent="0.2">
      <c r="A1105" s="75" t="s">
        <v>164</v>
      </c>
      <c r="B1105" s="76"/>
      <c r="C1105" s="76"/>
      <c r="D1105" s="77"/>
      <c r="E1105" s="78"/>
      <c r="F1105" s="79"/>
    </row>
    <row r="1106" spans="1:6" x14ac:dyDescent="0.2">
      <c r="A1106" s="61" t="s">
        <v>158</v>
      </c>
      <c r="B1106" s="62" t="s">
        <v>159</v>
      </c>
      <c r="C1106" s="406" t="s">
        <v>7</v>
      </c>
      <c r="D1106" s="407"/>
      <c r="E1106" s="63" t="s">
        <v>165</v>
      </c>
      <c r="F1106" s="64" t="s">
        <v>162</v>
      </c>
    </row>
    <row r="1107" spans="1:6" x14ac:dyDescent="0.2">
      <c r="A1107" s="80" t="s">
        <v>195</v>
      </c>
      <c r="B1107" s="66" t="s">
        <v>196</v>
      </c>
      <c r="C1107" s="81">
        <v>0.25</v>
      </c>
      <c r="D1107" s="82"/>
      <c r="E1107" s="83">
        <f>+Lista_prec_base!C23</f>
        <v>350000</v>
      </c>
      <c r="F1107" s="84">
        <f>+E1107*C1107</f>
        <v>87500</v>
      </c>
    </row>
    <row r="1108" spans="1:6" x14ac:dyDescent="0.2">
      <c r="A1108" s="85" t="s">
        <v>197</v>
      </c>
      <c r="B1108" s="66" t="s">
        <v>196</v>
      </c>
      <c r="C1108" s="81">
        <f>0.6*0.6*3.1416*0.25*2</f>
        <v>0.56548799999999999</v>
      </c>
      <c r="D1108" s="82"/>
      <c r="E1108" s="83">
        <f>+Lista_prec_base!C24</f>
        <v>450000</v>
      </c>
      <c r="F1108" s="84">
        <f>+E1108*C1108</f>
        <v>254469.6</v>
      </c>
    </row>
    <row r="1109" spans="1:6" x14ac:dyDescent="0.2">
      <c r="A1109" s="65" t="s">
        <v>198</v>
      </c>
      <c r="B1109" s="66" t="s">
        <v>229</v>
      </c>
      <c r="C1109" s="81">
        <v>7</v>
      </c>
      <c r="D1109" s="82"/>
      <c r="E1109" s="83">
        <f>+Lista_prec_base!C25</f>
        <v>43083.170242852386</v>
      </c>
      <c r="F1109" s="84">
        <f t="shared" ref="F1109:F1113" si="1">+E1109*C1109</f>
        <v>301582.19169996667</v>
      </c>
    </row>
    <row r="1110" spans="1:6" x14ac:dyDescent="0.2">
      <c r="A1110" s="65" t="s">
        <v>199</v>
      </c>
      <c r="B1110" s="66" t="s">
        <v>159</v>
      </c>
      <c r="C1110" s="121">
        <v>1219.187745582949</v>
      </c>
      <c r="D1110" s="82"/>
      <c r="E1110" s="83">
        <f>+Lista_prec_base!C26</f>
        <v>650</v>
      </c>
      <c r="F1110" s="84">
        <f t="shared" si="1"/>
        <v>792472.03462891688</v>
      </c>
    </row>
    <row r="1111" spans="1:6" x14ac:dyDescent="0.2">
      <c r="A1111" s="65" t="s">
        <v>200</v>
      </c>
      <c r="B1111" s="66" t="s">
        <v>201</v>
      </c>
      <c r="C1111" s="81">
        <v>28.300551197375789</v>
      </c>
      <c r="D1111" s="82"/>
      <c r="E1111" s="83">
        <f>+Lista_prec_base!C27</f>
        <v>3842.5530216598077</v>
      </c>
      <c r="F1111" s="84">
        <f t="shared" si="1"/>
        <v>108746.36851811442</v>
      </c>
    </row>
    <row r="1112" spans="1:6" x14ac:dyDescent="0.2">
      <c r="A1112" s="65" t="s">
        <v>202</v>
      </c>
      <c r="B1112" s="66" t="s">
        <v>201</v>
      </c>
      <c r="C1112" s="81">
        <v>3.9620771676326108</v>
      </c>
      <c r="D1112" s="82"/>
      <c r="E1112" s="83">
        <f>+Lista_prec_base!C28</f>
        <v>52398.450295361014</v>
      </c>
      <c r="F1112" s="84">
        <f t="shared" si="1"/>
        <v>207606.70353458211</v>
      </c>
    </row>
    <row r="1113" spans="1:6" x14ac:dyDescent="0.2">
      <c r="A1113" s="65" t="s">
        <v>203</v>
      </c>
      <c r="B1113" s="66" t="s">
        <v>159</v>
      </c>
      <c r="C1113" s="81">
        <v>1</v>
      </c>
      <c r="D1113" s="82"/>
      <c r="E1113" s="83">
        <f>+Lista_prec_base!C22</f>
        <v>380000</v>
      </c>
      <c r="F1113" s="84">
        <f t="shared" si="1"/>
        <v>380000</v>
      </c>
    </row>
    <row r="1114" spans="1:6" ht="15" x14ac:dyDescent="0.25">
      <c r="A1114" s="72"/>
      <c r="B1114" s="73"/>
      <c r="C1114" s="408" t="s">
        <v>167</v>
      </c>
      <c r="D1114" s="408"/>
      <c r="E1114" s="409"/>
      <c r="F1114" s="74">
        <f>SUM(F1107:F1113)</f>
        <v>2132376.8983815797</v>
      </c>
    </row>
    <row r="1115" spans="1:6" x14ac:dyDescent="0.2">
      <c r="A1115" s="72" t="s">
        <v>168</v>
      </c>
      <c r="B1115" s="73"/>
      <c r="C1115" s="73"/>
      <c r="D1115" s="88"/>
      <c r="E1115" s="89"/>
      <c r="F1115" s="90"/>
    </row>
    <row r="1116" spans="1:6" x14ac:dyDescent="0.2">
      <c r="A1116" s="61" t="s">
        <v>158</v>
      </c>
      <c r="B1116" s="62" t="s">
        <v>159</v>
      </c>
      <c r="C1116" s="62" t="s">
        <v>169</v>
      </c>
      <c r="D1116" s="91" t="s">
        <v>170</v>
      </c>
      <c r="E1116" s="63"/>
      <c r="F1116" s="64" t="s">
        <v>171</v>
      </c>
    </row>
    <row r="1117" spans="1:6" x14ac:dyDescent="0.2">
      <c r="A1117" s="65" t="s">
        <v>190</v>
      </c>
      <c r="B1117" s="92" t="s">
        <v>191</v>
      </c>
      <c r="C1117" s="93">
        <v>1.65</v>
      </c>
      <c r="D1117" s="94">
        <f>+Lista_prec_base!C43</f>
        <v>67000</v>
      </c>
      <c r="E1117" s="95">
        <v>0.123172631128158</v>
      </c>
      <c r="F1117" s="70">
        <v>881003.75063915225</v>
      </c>
    </row>
    <row r="1118" spans="1:6" x14ac:dyDescent="0.2">
      <c r="A1118" s="65">
        <v>0</v>
      </c>
      <c r="B1118" s="92">
        <v>0</v>
      </c>
      <c r="C1118" s="93"/>
      <c r="D1118" s="94">
        <v>0</v>
      </c>
      <c r="E1118" s="96"/>
      <c r="F1118" s="97">
        <v>0</v>
      </c>
    </row>
    <row r="1119" spans="1:6" x14ac:dyDescent="0.2">
      <c r="A1119" s="65">
        <v>0</v>
      </c>
      <c r="B1119" s="92">
        <v>0</v>
      </c>
      <c r="C1119" s="93"/>
      <c r="D1119" s="94">
        <v>0</v>
      </c>
      <c r="E1119" s="96"/>
      <c r="F1119" s="97">
        <v>0</v>
      </c>
    </row>
    <row r="1120" spans="1:6" ht="15" x14ac:dyDescent="0.25">
      <c r="A1120" s="72"/>
      <c r="B1120" s="73"/>
      <c r="C1120" s="408" t="s">
        <v>172</v>
      </c>
      <c r="D1120" s="408"/>
      <c r="E1120" s="409"/>
      <c r="F1120" s="74">
        <f>+F1117</f>
        <v>881003.75063915225</v>
      </c>
    </row>
    <row r="1121" spans="1:6" x14ac:dyDescent="0.2">
      <c r="A1121" s="75" t="s">
        <v>173</v>
      </c>
      <c r="B1121" s="76"/>
      <c r="C1121" s="76"/>
      <c r="D1121" s="77"/>
      <c r="E1121" s="78"/>
      <c r="F1121" s="79"/>
    </row>
    <row r="1122" spans="1:6" x14ac:dyDescent="0.2">
      <c r="A1122" s="61" t="s">
        <v>158</v>
      </c>
      <c r="B1122" s="62" t="s">
        <v>159</v>
      </c>
      <c r="C1122" s="62" t="s">
        <v>174</v>
      </c>
      <c r="D1122" s="98" t="s">
        <v>175</v>
      </c>
      <c r="E1122" s="63" t="s">
        <v>165</v>
      </c>
      <c r="F1122" s="64" t="s">
        <v>162</v>
      </c>
    </row>
    <row r="1123" spans="1:6" x14ac:dyDescent="0.2">
      <c r="A1123" s="65">
        <v>0</v>
      </c>
      <c r="B1123" s="66">
        <v>0</v>
      </c>
      <c r="C1123" s="99"/>
      <c r="D1123" s="81"/>
      <c r="E1123" s="83">
        <v>0</v>
      </c>
      <c r="F1123" s="84">
        <v>0</v>
      </c>
    </row>
    <row r="1124" spans="1:6" x14ac:dyDescent="0.2">
      <c r="A1124" s="65">
        <v>0</v>
      </c>
      <c r="B1124" s="66">
        <v>0</v>
      </c>
      <c r="C1124" s="99"/>
      <c r="D1124" s="81"/>
      <c r="E1124" s="83">
        <v>0</v>
      </c>
      <c r="F1124" s="84">
        <v>0</v>
      </c>
    </row>
    <row r="1125" spans="1:6" ht="15" x14ac:dyDescent="0.25">
      <c r="A1125" s="72"/>
      <c r="B1125" s="73"/>
      <c r="C1125" s="408" t="s">
        <v>176</v>
      </c>
      <c r="D1125" s="408"/>
      <c r="E1125" s="409"/>
      <c r="F1125" s="74">
        <v>0</v>
      </c>
    </row>
    <row r="1126" spans="1:6" ht="15" thickBot="1" x14ac:dyDescent="0.25">
      <c r="A1126" s="75"/>
      <c r="B1126" s="76"/>
      <c r="C1126" s="76"/>
      <c r="D1126" s="77"/>
      <c r="E1126" s="78"/>
      <c r="F1126" s="79"/>
    </row>
    <row r="1127" spans="1:6" ht="15.75" thickBot="1" x14ac:dyDescent="0.3">
      <c r="A1127" s="100" t="s">
        <v>177</v>
      </c>
      <c r="B1127" s="101"/>
      <c r="C1127" s="101"/>
      <c r="D1127" s="101"/>
      <c r="E1127" s="102"/>
      <c r="F1127" s="103">
        <f>+F1104+F1114+F1120</f>
        <v>3095429.2204493033</v>
      </c>
    </row>
    <row r="1128" spans="1:6" ht="15" x14ac:dyDescent="0.25">
      <c r="A1128" s="104" t="s">
        <v>178</v>
      </c>
      <c r="B1128" s="105"/>
      <c r="C1128" s="105"/>
      <c r="D1128" s="105"/>
      <c r="E1128" s="105"/>
      <c r="F1128" s="106" t="s">
        <v>179</v>
      </c>
    </row>
    <row r="1129" spans="1:6" x14ac:dyDescent="0.2">
      <c r="A1129" s="399" t="s">
        <v>158</v>
      </c>
      <c r="B1129" s="400"/>
      <c r="C1129" s="400"/>
      <c r="D1129" s="400"/>
      <c r="E1129" s="107" t="s">
        <v>144</v>
      </c>
      <c r="F1129" s="108"/>
    </row>
    <row r="1130" spans="1:6" x14ac:dyDescent="0.2">
      <c r="A1130" s="399" t="s">
        <v>180</v>
      </c>
      <c r="B1130" s="400"/>
      <c r="C1130" s="400"/>
      <c r="D1130" s="400"/>
      <c r="E1130" s="109">
        <v>0.23</v>
      </c>
      <c r="F1130" s="108">
        <f>+E1130*F1127</f>
        <v>711948.72070333979</v>
      </c>
    </row>
    <row r="1131" spans="1:6" x14ac:dyDescent="0.2">
      <c r="A1131" s="399" t="s">
        <v>181</v>
      </c>
      <c r="B1131" s="400"/>
      <c r="C1131" s="400"/>
      <c r="D1131" s="400"/>
      <c r="E1131" s="109">
        <v>0.02</v>
      </c>
      <c r="F1131" s="108">
        <f>+E1131*F1127</f>
        <v>61908.584408986069</v>
      </c>
    </row>
    <row r="1132" spans="1:6" x14ac:dyDescent="0.2">
      <c r="A1132" s="399" t="s">
        <v>182</v>
      </c>
      <c r="B1132" s="400"/>
      <c r="C1132" s="400"/>
      <c r="D1132" s="400"/>
      <c r="E1132" s="109">
        <v>0.05</v>
      </c>
      <c r="F1132" s="108">
        <f>+E1132*F1127</f>
        <v>154771.46102246517</v>
      </c>
    </row>
    <row r="1133" spans="1:6" x14ac:dyDescent="0.2">
      <c r="A1133" s="110" t="s">
        <v>183</v>
      </c>
      <c r="B1133" s="111"/>
      <c r="C1133" s="111"/>
      <c r="D1133" s="111"/>
      <c r="E1133" s="109"/>
      <c r="F1133" s="108">
        <v>0</v>
      </c>
    </row>
    <row r="1134" spans="1:6" ht="15" x14ac:dyDescent="0.2">
      <c r="A1134" s="112"/>
      <c r="B1134" s="113"/>
      <c r="C1134" s="113"/>
      <c r="D1134" s="113"/>
      <c r="E1134" s="114" t="s">
        <v>184</v>
      </c>
      <c r="F1134" s="115">
        <f>+F1130+F1131+F1132</f>
        <v>928628.76613479096</v>
      </c>
    </row>
    <row r="1135" spans="1:6" ht="15.75" thickBot="1" x14ac:dyDescent="0.3">
      <c r="A1135" s="401" t="s">
        <v>185</v>
      </c>
      <c r="B1135" s="402"/>
      <c r="C1135" s="402"/>
      <c r="D1135" s="402"/>
      <c r="E1135" s="402"/>
      <c r="F1135" s="116">
        <f>+F1127+F1134</f>
        <v>4024057.9865840944</v>
      </c>
    </row>
    <row r="1136" spans="1:6" x14ac:dyDescent="0.2">
      <c r="A1136" s="41" t="s">
        <v>153</v>
      </c>
      <c r="B1136" s="117" t="s">
        <v>223</v>
      </c>
      <c r="C1136" s="43"/>
      <c r="D1136" s="44"/>
      <c r="E1136" s="45"/>
      <c r="F1136" s="46"/>
    </row>
    <row r="1137" spans="1:6" x14ac:dyDescent="0.2">
      <c r="A1137" s="48" t="s">
        <v>154</v>
      </c>
      <c r="B1137" s="403" t="s">
        <v>205</v>
      </c>
      <c r="C1137" s="404"/>
      <c r="D1137" s="404"/>
      <c r="E1137" s="404"/>
      <c r="F1137" s="405"/>
    </row>
    <row r="1138" spans="1:6" ht="15" thickBot="1" x14ac:dyDescent="0.25">
      <c r="A1138" s="50" t="s">
        <v>156</v>
      </c>
      <c r="B1138" s="51" t="s">
        <v>15</v>
      </c>
      <c r="C1138" s="52"/>
      <c r="D1138" s="53"/>
      <c r="E1138" s="52"/>
      <c r="F1138" s="54"/>
    </row>
    <row r="1139" spans="1:6" x14ac:dyDescent="0.2">
      <c r="A1139" s="55" t="s">
        <v>157</v>
      </c>
      <c r="B1139" s="56"/>
      <c r="C1139" s="57"/>
      <c r="D1139" s="58"/>
      <c r="E1139" s="59"/>
      <c r="F1139" s="60"/>
    </row>
    <row r="1140" spans="1:6" x14ac:dyDescent="0.2">
      <c r="A1140" s="61" t="s">
        <v>158</v>
      </c>
      <c r="B1140" s="62" t="s">
        <v>159</v>
      </c>
      <c r="C1140" s="406" t="s">
        <v>160</v>
      </c>
      <c r="D1140" s="407"/>
      <c r="E1140" s="63" t="s">
        <v>161</v>
      </c>
      <c r="F1140" s="64" t="s">
        <v>162</v>
      </c>
    </row>
    <row r="1141" spans="1:6" x14ac:dyDescent="0.2">
      <c r="A1141" s="65" t="s">
        <v>193</v>
      </c>
      <c r="B1141" s="66" t="s">
        <v>189</v>
      </c>
      <c r="C1141" s="67">
        <f>+Lista_prec_base!C35</f>
        <v>8496</v>
      </c>
      <c r="D1141" s="68"/>
      <c r="E1141" s="69">
        <v>0.8</v>
      </c>
      <c r="F1141" s="70">
        <f>+C1141/E1141</f>
        <v>10620</v>
      </c>
    </row>
    <row r="1142" spans="1:6" x14ac:dyDescent="0.2">
      <c r="A1142" s="65" t="s">
        <v>194</v>
      </c>
      <c r="B1142" s="66" t="s">
        <v>189</v>
      </c>
      <c r="C1142" s="67">
        <f>+Lista_prec_base!C39</f>
        <v>25000</v>
      </c>
      <c r="D1142" s="68"/>
      <c r="E1142" s="69">
        <v>0.35</v>
      </c>
      <c r="F1142" s="70">
        <f>+C1142/E1142</f>
        <v>71428.571428571435</v>
      </c>
    </row>
    <row r="1143" spans="1:6" x14ac:dyDescent="0.2">
      <c r="A1143" s="65">
        <v>0</v>
      </c>
      <c r="B1143" s="66">
        <v>0</v>
      </c>
      <c r="C1143" s="67">
        <v>0</v>
      </c>
      <c r="D1143" s="68"/>
      <c r="E1143" s="71"/>
      <c r="F1143" s="70">
        <v>0</v>
      </c>
    </row>
    <row r="1144" spans="1:6" x14ac:dyDescent="0.2">
      <c r="A1144" s="65">
        <v>0</v>
      </c>
      <c r="B1144" s="66">
        <v>0</v>
      </c>
      <c r="C1144" s="67">
        <v>0</v>
      </c>
      <c r="D1144" s="68"/>
      <c r="E1144" s="71"/>
      <c r="F1144" s="70">
        <v>0</v>
      </c>
    </row>
    <row r="1145" spans="1:6" ht="15" x14ac:dyDescent="0.25">
      <c r="A1145" s="72"/>
      <c r="B1145" s="73"/>
      <c r="C1145" s="408" t="s">
        <v>163</v>
      </c>
      <c r="D1145" s="408"/>
      <c r="E1145" s="409"/>
      <c r="F1145" s="74">
        <f>SUM(F1141:F1144)</f>
        <v>82048.571428571435</v>
      </c>
    </row>
    <row r="1146" spans="1:6" x14ac:dyDescent="0.2">
      <c r="A1146" s="75" t="s">
        <v>164</v>
      </c>
      <c r="B1146" s="76"/>
      <c r="C1146" s="76"/>
      <c r="D1146" s="77"/>
      <c r="E1146" s="78"/>
      <c r="F1146" s="79"/>
    </row>
    <row r="1147" spans="1:6" x14ac:dyDescent="0.2">
      <c r="A1147" s="61" t="s">
        <v>158</v>
      </c>
      <c r="B1147" s="62" t="s">
        <v>159</v>
      </c>
      <c r="C1147" s="406" t="s">
        <v>7</v>
      </c>
      <c r="D1147" s="407"/>
      <c r="E1147" s="63" t="s">
        <v>165</v>
      </c>
      <c r="F1147" s="64" t="s">
        <v>162</v>
      </c>
    </row>
    <row r="1148" spans="1:6" x14ac:dyDescent="0.2">
      <c r="A1148" s="80" t="s">
        <v>195</v>
      </c>
      <c r="B1148" s="66" t="s">
        <v>196</v>
      </c>
      <c r="C1148" s="81">
        <v>0.25</v>
      </c>
      <c r="D1148" s="82"/>
      <c r="E1148" s="83">
        <f>+Lista_prec_base!C23</f>
        <v>350000</v>
      </c>
      <c r="F1148" s="84">
        <f>+E1148*C1148</f>
        <v>87500</v>
      </c>
    </row>
    <row r="1149" spans="1:6" x14ac:dyDescent="0.2">
      <c r="A1149" s="85" t="s">
        <v>197</v>
      </c>
      <c r="B1149" s="66" t="s">
        <v>196</v>
      </c>
      <c r="C1149" s="81">
        <f>0.6*0.6*3.1416*0.25*2</f>
        <v>0.56548799999999999</v>
      </c>
      <c r="D1149" s="82"/>
      <c r="E1149" s="83">
        <f>+Lista_prec_base!C24</f>
        <v>450000</v>
      </c>
      <c r="F1149" s="84">
        <f>+E1149*C1149</f>
        <v>254469.6</v>
      </c>
    </row>
    <row r="1150" spans="1:6" x14ac:dyDescent="0.2">
      <c r="A1150" s="65" t="s">
        <v>198</v>
      </c>
      <c r="B1150" s="66" t="s">
        <v>229</v>
      </c>
      <c r="C1150" s="81">
        <v>8</v>
      </c>
      <c r="D1150" s="82"/>
      <c r="E1150" s="83">
        <f>+Lista_prec_base!C25</f>
        <v>43083.170242852386</v>
      </c>
      <c r="F1150" s="84">
        <f t="shared" ref="F1150:F1154" si="2">+E1150*C1150</f>
        <v>344665.36194281909</v>
      </c>
    </row>
    <row r="1151" spans="1:6" x14ac:dyDescent="0.2">
      <c r="A1151" s="65" t="s">
        <v>199</v>
      </c>
      <c r="B1151" s="66" t="s">
        <v>159</v>
      </c>
      <c r="C1151" s="121">
        <v>1451.3877114509476</v>
      </c>
      <c r="D1151" s="82"/>
      <c r="E1151" s="83">
        <f>+Lista_prec_base!C26</f>
        <v>650</v>
      </c>
      <c r="F1151" s="84">
        <f t="shared" si="2"/>
        <v>943402.01244311593</v>
      </c>
    </row>
    <row r="1152" spans="1:6" x14ac:dyDescent="0.2">
      <c r="A1152" s="65" t="s">
        <v>200</v>
      </c>
      <c r="B1152" s="66" t="s">
        <v>201</v>
      </c>
      <c r="C1152" s="81">
        <v>33.690522549929135</v>
      </c>
      <c r="D1152" s="82"/>
      <c r="E1152" s="83">
        <f>+Lista_prec_base!C27</f>
        <v>3842.5530216598077</v>
      </c>
      <c r="F1152" s="84">
        <f t="shared" si="2"/>
        <v>129457.61922552809</v>
      </c>
    </row>
    <row r="1153" spans="1:6" x14ac:dyDescent="0.2">
      <c r="A1153" s="65" t="s">
        <v>202</v>
      </c>
      <c r="B1153" s="66" t="s">
        <v>201</v>
      </c>
      <c r="C1153" s="81">
        <v>4.7166731569900762</v>
      </c>
      <c r="D1153" s="82"/>
      <c r="E1153" s="83">
        <f>+Lista_prec_base!C28</f>
        <v>52398.450295361014</v>
      </c>
      <c r="F1153" s="84">
        <f t="shared" si="2"/>
        <v>247146.36397600803</v>
      </c>
    </row>
    <row r="1154" spans="1:6" x14ac:dyDescent="0.2">
      <c r="A1154" s="65" t="s">
        <v>203</v>
      </c>
      <c r="B1154" s="66" t="s">
        <v>159</v>
      </c>
      <c r="C1154" s="81">
        <v>1</v>
      </c>
      <c r="D1154" s="82"/>
      <c r="E1154" s="83">
        <f>+Lista_prec_base!C22</f>
        <v>380000</v>
      </c>
      <c r="F1154" s="84">
        <f t="shared" si="2"/>
        <v>380000</v>
      </c>
    </row>
    <row r="1155" spans="1:6" ht="15" x14ac:dyDescent="0.25">
      <c r="A1155" s="72"/>
      <c r="B1155" s="73"/>
      <c r="C1155" s="408" t="s">
        <v>167</v>
      </c>
      <c r="D1155" s="408"/>
      <c r="E1155" s="409"/>
      <c r="F1155" s="74">
        <f>SUM(F1148:F1154)</f>
        <v>2386640.9575874712</v>
      </c>
    </row>
    <row r="1156" spans="1:6" x14ac:dyDescent="0.2">
      <c r="A1156" s="72" t="s">
        <v>168</v>
      </c>
      <c r="B1156" s="73"/>
      <c r="C1156" s="73"/>
      <c r="D1156" s="88"/>
      <c r="E1156" s="89"/>
      <c r="F1156" s="90"/>
    </row>
    <row r="1157" spans="1:6" x14ac:dyDescent="0.2">
      <c r="A1157" s="61" t="s">
        <v>158</v>
      </c>
      <c r="B1157" s="62" t="s">
        <v>159</v>
      </c>
      <c r="C1157" s="62" t="s">
        <v>169</v>
      </c>
      <c r="D1157" s="91" t="s">
        <v>170</v>
      </c>
      <c r="E1157" s="63"/>
      <c r="F1157" s="64" t="s">
        <v>171</v>
      </c>
    </row>
    <row r="1158" spans="1:6" x14ac:dyDescent="0.2">
      <c r="A1158" s="65" t="s">
        <v>190</v>
      </c>
      <c r="B1158" s="92" t="s">
        <v>191</v>
      </c>
      <c r="C1158" s="93">
        <v>1.65</v>
      </c>
      <c r="D1158" s="94">
        <f>+Lista_prec_base!C43</f>
        <v>67000</v>
      </c>
      <c r="E1158" s="95">
        <v>0.12251223597259633</v>
      </c>
      <c r="F1158" s="70">
        <f>+C1158*D1158/E1158</f>
        <v>902358.84703571931</v>
      </c>
    </row>
    <row r="1159" spans="1:6" x14ac:dyDescent="0.2">
      <c r="A1159" s="65">
        <v>0</v>
      </c>
      <c r="B1159" s="92">
        <v>0</v>
      </c>
      <c r="C1159" s="93"/>
      <c r="D1159" s="94">
        <v>0</v>
      </c>
      <c r="E1159" s="96"/>
      <c r="F1159" s="97">
        <v>0</v>
      </c>
    </row>
    <row r="1160" spans="1:6" x14ac:dyDescent="0.2">
      <c r="A1160" s="65">
        <v>0</v>
      </c>
      <c r="B1160" s="92">
        <v>0</v>
      </c>
      <c r="C1160" s="93"/>
      <c r="D1160" s="94">
        <v>0</v>
      </c>
      <c r="E1160" s="96"/>
      <c r="F1160" s="97">
        <v>0</v>
      </c>
    </row>
    <row r="1161" spans="1:6" ht="15" x14ac:dyDescent="0.25">
      <c r="A1161" s="72"/>
      <c r="B1161" s="73"/>
      <c r="C1161" s="408" t="s">
        <v>172</v>
      </c>
      <c r="D1161" s="408"/>
      <c r="E1161" s="409"/>
      <c r="F1161" s="74">
        <f>+F1158</f>
        <v>902358.84703571931</v>
      </c>
    </row>
    <row r="1162" spans="1:6" x14ac:dyDescent="0.2">
      <c r="A1162" s="75" t="s">
        <v>173</v>
      </c>
      <c r="B1162" s="76"/>
      <c r="C1162" s="76"/>
      <c r="D1162" s="77"/>
      <c r="E1162" s="78"/>
      <c r="F1162" s="79"/>
    </row>
    <row r="1163" spans="1:6" x14ac:dyDescent="0.2">
      <c r="A1163" s="61" t="s">
        <v>158</v>
      </c>
      <c r="B1163" s="62" t="s">
        <v>159</v>
      </c>
      <c r="C1163" s="62" t="s">
        <v>174</v>
      </c>
      <c r="D1163" s="98" t="s">
        <v>175</v>
      </c>
      <c r="E1163" s="63" t="s">
        <v>165</v>
      </c>
      <c r="F1163" s="64" t="s">
        <v>162</v>
      </c>
    </row>
    <row r="1164" spans="1:6" x14ac:dyDescent="0.2">
      <c r="A1164" s="65">
        <v>0</v>
      </c>
      <c r="B1164" s="66">
        <v>0</v>
      </c>
      <c r="C1164" s="99"/>
      <c r="D1164" s="81"/>
      <c r="E1164" s="83">
        <v>0</v>
      </c>
      <c r="F1164" s="84">
        <v>0</v>
      </c>
    </row>
    <row r="1165" spans="1:6" x14ac:dyDescent="0.2">
      <c r="A1165" s="65">
        <v>0</v>
      </c>
      <c r="B1165" s="66">
        <v>0</v>
      </c>
      <c r="C1165" s="99"/>
      <c r="D1165" s="81"/>
      <c r="E1165" s="83">
        <v>0</v>
      </c>
      <c r="F1165" s="84">
        <v>0</v>
      </c>
    </row>
    <row r="1166" spans="1:6" ht="15" x14ac:dyDescent="0.25">
      <c r="A1166" s="72"/>
      <c r="B1166" s="73"/>
      <c r="C1166" s="408" t="s">
        <v>176</v>
      </c>
      <c r="D1166" s="408"/>
      <c r="E1166" s="409"/>
      <c r="F1166" s="74">
        <v>0</v>
      </c>
    </row>
    <row r="1167" spans="1:6" ht="15" thickBot="1" x14ac:dyDescent="0.25">
      <c r="A1167" s="75"/>
      <c r="B1167" s="76"/>
      <c r="C1167" s="76"/>
      <c r="D1167" s="77"/>
      <c r="E1167" s="78"/>
      <c r="F1167" s="79"/>
    </row>
    <row r="1168" spans="1:6" ht="15.75" thickBot="1" x14ac:dyDescent="0.3">
      <c r="A1168" s="100" t="s">
        <v>177</v>
      </c>
      <c r="B1168" s="101"/>
      <c r="C1168" s="101"/>
      <c r="D1168" s="101"/>
      <c r="E1168" s="102"/>
      <c r="F1168" s="103">
        <f>+F1145+F1155+F1161</f>
        <v>3371048.3760517621</v>
      </c>
    </row>
    <row r="1169" spans="1:6" ht="15" x14ac:dyDescent="0.25">
      <c r="A1169" s="104" t="s">
        <v>178</v>
      </c>
      <c r="B1169" s="105"/>
      <c r="C1169" s="105"/>
      <c r="D1169" s="105"/>
      <c r="E1169" s="105"/>
      <c r="F1169" s="106" t="s">
        <v>179</v>
      </c>
    </row>
    <row r="1170" spans="1:6" x14ac:dyDescent="0.2">
      <c r="A1170" s="399" t="s">
        <v>158</v>
      </c>
      <c r="B1170" s="400"/>
      <c r="C1170" s="400"/>
      <c r="D1170" s="400"/>
      <c r="E1170" s="107" t="s">
        <v>144</v>
      </c>
      <c r="F1170" s="108"/>
    </row>
    <row r="1171" spans="1:6" x14ac:dyDescent="0.2">
      <c r="A1171" s="399" t="s">
        <v>180</v>
      </c>
      <c r="B1171" s="400"/>
      <c r="C1171" s="400"/>
      <c r="D1171" s="400"/>
      <c r="E1171" s="109">
        <v>0.23</v>
      </c>
      <c r="F1171" s="108">
        <f>+E1171*F1168</f>
        <v>775341.12649190531</v>
      </c>
    </row>
    <row r="1172" spans="1:6" x14ac:dyDescent="0.2">
      <c r="A1172" s="399" t="s">
        <v>181</v>
      </c>
      <c r="B1172" s="400"/>
      <c r="C1172" s="400"/>
      <c r="D1172" s="400"/>
      <c r="E1172" s="109">
        <v>0.02</v>
      </c>
      <c r="F1172" s="108">
        <f>+E1172*F1168</f>
        <v>67420.967521035243</v>
      </c>
    </row>
    <row r="1173" spans="1:6" x14ac:dyDescent="0.2">
      <c r="A1173" s="399" t="s">
        <v>182</v>
      </c>
      <c r="B1173" s="400"/>
      <c r="C1173" s="400"/>
      <c r="D1173" s="400"/>
      <c r="E1173" s="109">
        <v>0.05</v>
      </c>
      <c r="F1173" s="108">
        <f>+E1173*F1168</f>
        <v>168552.41880258813</v>
      </c>
    </row>
    <row r="1174" spans="1:6" x14ac:dyDescent="0.2">
      <c r="A1174" s="110" t="s">
        <v>183</v>
      </c>
      <c r="B1174" s="111"/>
      <c r="C1174" s="111"/>
      <c r="D1174" s="111"/>
      <c r="E1174" s="109"/>
      <c r="F1174" s="108">
        <v>0</v>
      </c>
    </row>
    <row r="1175" spans="1:6" ht="15" x14ac:dyDescent="0.2">
      <c r="A1175" s="112"/>
      <c r="B1175" s="113"/>
      <c r="C1175" s="113"/>
      <c r="D1175" s="113"/>
      <c r="E1175" s="114" t="s">
        <v>184</v>
      </c>
      <c r="F1175" s="115">
        <f>+F1171+F1172+F1173</f>
        <v>1011314.5128155287</v>
      </c>
    </row>
    <row r="1176" spans="1:6" ht="15.75" thickBot="1" x14ac:dyDescent="0.3">
      <c r="A1176" s="401" t="s">
        <v>185</v>
      </c>
      <c r="B1176" s="402"/>
      <c r="C1176" s="402"/>
      <c r="D1176" s="402"/>
      <c r="E1176" s="402"/>
      <c r="F1176" s="116">
        <f>+F1168+F1175</f>
        <v>4382362.8888672907</v>
      </c>
    </row>
    <row r="1177" spans="1:6" x14ac:dyDescent="0.2">
      <c r="A1177" s="41" t="s">
        <v>153</v>
      </c>
      <c r="B1177" s="117" t="s">
        <v>224</v>
      </c>
      <c r="C1177" s="43"/>
      <c r="D1177" s="44"/>
      <c r="E1177" s="45"/>
      <c r="F1177" s="46"/>
    </row>
    <row r="1178" spans="1:6" x14ac:dyDescent="0.2">
      <c r="A1178" s="48" t="s">
        <v>154</v>
      </c>
      <c r="B1178" s="403" t="s">
        <v>206</v>
      </c>
      <c r="C1178" s="404"/>
      <c r="D1178" s="404"/>
      <c r="E1178" s="404"/>
      <c r="F1178" s="405"/>
    </row>
    <row r="1179" spans="1:6" ht="15" thickBot="1" x14ac:dyDescent="0.25">
      <c r="A1179" s="50" t="s">
        <v>156</v>
      </c>
      <c r="B1179" s="51" t="s">
        <v>15</v>
      </c>
      <c r="C1179" s="52"/>
      <c r="D1179" s="53"/>
      <c r="E1179" s="52"/>
      <c r="F1179" s="54"/>
    </row>
    <row r="1180" spans="1:6" x14ac:dyDescent="0.2">
      <c r="A1180" s="55" t="s">
        <v>157</v>
      </c>
      <c r="B1180" s="56"/>
      <c r="C1180" s="57"/>
      <c r="D1180" s="58"/>
      <c r="E1180" s="59"/>
      <c r="F1180" s="60"/>
    </row>
    <row r="1181" spans="1:6" x14ac:dyDescent="0.2">
      <c r="A1181" s="61" t="s">
        <v>158</v>
      </c>
      <c r="B1181" s="62" t="s">
        <v>159</v>
      </c>
      <c r="C1181" s="406" t="s">
        <v>160</v>
      </c>
      <c r="D1181" s="407"/>
      <c r="E1181" s="63" t="s">
        <v>161</v>
      </c>
      <c r="F1181" s="64" t="s">
        <v>162</v>
      </c>
    </row>
    <row r="1182" spans="1:6" x14ac:dyDescent="0.2">
      <c r="A1182" s="65" t="s">
        <v>193</v>
      </c>
      <c r="B1182" s="66" t="s">
        <v>189</v>
      </c>
      <c r="C1182" s="67">
        <f>+Lista_prec_base!C35</f>
        <v>8496</v>
      </c>
      <c r="D1182" s="68"/>
      <c r="E1182" s="69">
        <v>0.1</v>
      </c>
      <c r="F1182" s="70">
        <f>+C1182/E1182</f>
        <v>84960</v>
      </c>
    </row>
    <row r="1183" spans="1:6" x14ac:dyDescent="0.2">
      <c r="A1183" s="65"/>
      <c r="B1183" s="66"/>
      <c r="C1183" s="67"/>
      <c r="D1183" s="68"/>
      <c r="E1183" s="69"/>
      <c r="F1183" s="70"/>
    </row>
    <row r="1184" spans="1:6" x14ac:dyDescent="0.2">
      <c r="A1184" s="65">
        <v>0</v>
      </c>
      <c r="B1184" s="66">
        <v>0</v>
      </c>
      <c r="C1184" s="67">
        <v>0</v>
      </c>
      <c r="D1184" s="68"/>
      <c r="E1184" s="71"/>
      <c r="F1184" s="70">
        <v>0</v>
      </c>
    </row>
    <row r="1185" spans="1:6" x14ac:dyDescent="0.2">
      <c r="A1185" s="65">
        <v>0</v>
      </c>
      <c r="B1185" s="66">
        <v>0</v>
      </c>
      <c r="C1185" s="67">
        <v>0</v>
      </c>
      <c r="D1185" s="68"/>
      <c r="E1185" s="71"/>
      <c r="F1185" s="70">
        <v>0</v>
      </c>
    </row>
    <row r="1186" spans="1:6" ht="15" x14ac:dyDescent="0.25">
      <c r="A1186" s="72"/>
      <c r="B1186" s="73"/>
      <c r="C1186" s="408" t="s">
        <v>163</v>
      </c>
      <c r="D1186" s="408"/>
      <c r="E1186" s="409"/>
      <c r="F1186" s="74">
        <f>SUM(F1182:F1185)</f>
        <v>84960</v>
      </c>
    </row>
    <row r="1187" spans="1:6" x14ac:dyDescent="0.2">
      <c r="A1187" s="75" t="s">
        <v>164</v>
      </c>
      <c r="B1187" s="76"/>
      <c r="C1187" s="76"/>
      <c r="D1187" s="77"/>
      <c r="E1187" s="78"/>
      <c r="F1187" s="79"/>
    </row>
    <row r="1188" spans="1:6" x14ac:dyDescent="0.2">
      <c r="A1188" s="61" t="s">
        <v>158</v>
      </c>
      <c r="B1188" s="62" t="s">
        <v>159</v>
      </c>
      <c r="C1188" s="406" t="s">
        <v>7</v>
      </c>
      <c r="D1188" s="407"/>
      <c r="E1188" s="63" t="s">
        <v>165</v>
      </c>
      <c r="F1188" s="64" t="s">
        <v>162</v>
      </c>
    </row>
    <row r="1189" spans="1:6" x14ac:dyDescent="0.2">
      <c r="A1189" s="85" t="s">
        <v>197</v>
      </c>
      <c r="B1189" s="66" t="s">
        <v>196</v>
      </c>
      <c r="C1189" s="81">
        <v>0.25</v>
      </c>
      <c r="D1189" s="82"/>
      <c r="E1189" s="83">
        <f>+Lista_prec_base!C24</f>
        <v>450000</v>
      </c>
      <c r="F1189" s="84">
        <f>+E1189*C1189</f>
        <v>112500</v>
      </c>
    </row>
    <row r="1190" spans="1:6" x14ac:dyDescent="0.2">
      <c r="A1190" s="65"/>
      <c r="B1190" s="66"/>
      <c r="C1190" s="81"/>
      <c r="D1190" s="82"/>
      <c r="E1190" s="83"/>
      <c r="F1190" s="84"/>
    </row>
    <row r="1191" spans="1:6" x14ac:dyDescent="0.2">
      <c r="A1191" s="65"/>
      <c r="B1191" s="66"/>
      <c r="C1191" s="121"/>
      <c r="D1191" s="82"/>
      <c r="E1191" s="83"/>
      <c r="F1191" s="84"/>
    </row>
    <row r="1192" spans="1:6" x14ac:dyDescent="0.2">
      <c r="A1192" s="65"/>
      <c r="B1192" s="66"/>
      <c r="C1192" s="81"/>
      <c r="D1192" s="82"/>
      <c r="E1192" s="83"/>
      <c r="F1192" s="84"/>
    </row>
    <row r="1193" spans="1:6" x14ac:dyDescent="0.2">
      <c r="A1193" s="65"/>
      <c r="B1193" s="66"/>
      <c r="C1193" s="81"/>
      <c r="D1193" s="82"/>
      <c r="E1193" s="83"/>
      <c r="F1193" s="84"/>
    </row>
    <row r="1194" spans="1:6" x14ac:dyDescent="0.2">
      <c r="A1194" s="65"/>
      <c r="B1194" s="66"/>
      <c r="C1194" s="81"/>
      <c r="D1194" s="82"/>
      <c r="E1194" s="83"/>
      <c r="F1194" s="84"/>
    </row>
    <row r="1195" spans="1:6" ht="15" x14ac:dyDescent="0.25">
      <c r="A1195" s="72"/>
      <c r="B1195" s="73"/>
      <c r="C1195" s="408" t="s">
        <v>167</v>
      </c>
      <c r="D1195" s="408"/>
      <c r="E1195" s="409"/>
      <c r="F1195" s="74">
        <f>SUM(F1189:F1194)</f>
        <v>112500</v>
      </c>
    </row>
    <row r="1196" spans="1:6" x14ac:dyDescent="0.2">
      <c r="A1196" s="72" t="s">
        <v>168</v>
      </c>
      <c r="B1196" s="73"/>
      <c r="C1196" s="73"/>
      <c r="D1196" s="88"/>
      <c r="E1196" s="89"/>
      <c r="F1196" s="90"/>
    </row>
    <row r="1197" spans="1:6" x14ac:dyDescent="0.2">
      <c r="A1197" s="61" t="s">
        <v>158</v>
      </c>
      <c r="B1197" s="62" t="s">
        <v>159</v>
      </c>
      <c r="C1197" s="62" t="s">
        <v>169</v>
      </c>
      <c r="D1197" s="91" t="s">
        <v>170</v>
      </c>
      <c r="E1197" s="63"/>
      <c r="F1197" s="64" t="s">
        <v>171</v>
      </c>
    </row>
    <row r="1198" spans="1:6" x14ac:dyDescent="0.2">
      <c r="A1198" s="65" t="s">
        <v>190</v>
      </c>
      <c r="B1198" s="92" t="s">
        <v>191</v>
      </c>
      <c r="C1198" s="93">
        <v>1.65</v>
      </c>
      <c r="D1198" s="94">
        <f>+Lista_prec_base!C43</f>
        <v>67000</v>
      </c>
      <c r="E1198" s="95">
        <v>6.4</v>
      </c>
      <c r="F1198" s="70">
        <f>+C1198*D1198/E1198</f>
        <v>17273.4375</v>
      </c>
    </row>
    <row r="1199" spans="1:6" x14ac:dyDescent="0.2">
      <c r="A1199" s="65">
        <v>0</v>
      </c>
      <c r="B1199" s="92">
        <v>0</v>
      </c>
      <c r="C1199" s="93"/>
      <c r="D1199" s="94">
        <v>0</v>
      </c>
      <c r="E1199" s="96"/>
      <c r="F1199" s="97">
        <v>0</v>
      </c>
    </row>
    <row r="1200" spans="1:6" x14ac:dyDescent="0.2">
      <c r="A1200" s="65">
        <v>0</v>
      </c>
      <c r="B1200" s="92">
        <v>0</v>
      </c>
      <c r="C1200" s="93"/>
      <c r="D1200" s="94">
        <v>0</v>
      </c>
      <c r="E1200" s="96"/>
      <c r="F1200" s="97">
        <v>0</v>
      </c>
    </row>
    <row r="1201" spans="1:6" ht="15" x14ac:dyDescent="0.25">
      <c r="A1201" s="72"/>
      <c r="B1201" s="73"/>
      <c r="C1201" s="408" t="s">
        <v>172</v>
      </c>
      <c r="D1201" s="408"/>
      <c r="E1201" s="409"/>
      <c r="F1201" s="74">
        <f>+F1198</f>
        <v>17273.4375</v>
      </c>
    </row>
    <row r="1202" spans="1:6" x14ac:dyDescent="0.2">
      <c r="A1202" s="75" t="s">
        <v>173</v>
      </c>
      <c r="B1202" s="76"/>
      <c r="C1202" s="76"/>
      <c r="D1202" s="77"/>
      <c r="E1202" s="78"/>
      <c r="F1202" s="79"/>
    </row>
    <row r="1203" spans="1:6" x14ac:dyDescent="0.2">
      <c r="A1203" s="61" t="s">
        <v>158</v>
      </c>
      <c r="B1203" s="62" t="s">
        <v>159</v>
      </c>
      <c r="C1203" s="62" t="s">
        <v>174</v>
      </c>
      <c r="D1203" s="98" t="s">
        <v>175</v>
      </c>
      <c r="E1203" s="63" t="s">
        <v>165</v>
      </c>
      <c r="F1203" s="64" t="s">
        <v>162</v>
      </c>
    </row>
    <row r="1204" spans="1:6" x14ac:dyDescent="0.2">
      <c r="A1204" s="65">
        <v>0</v>
      </c>
      <c r="B1204" s="66">
        <v>0</v>
      </c>
      <c r="C1204" s="99"/>
      <c r="D1204" s="81"/>
      <c r="E1204" s="83">
        <v>0</v>
      </c>
      <c r="F1204" s="84">
        <v>0</v>
      </c>
    </row>
    <row r="1205" spans="1:6" x14ac:dyDescent="0.2">
      <c r="A1205" s="65">
        <v>0</v>
      </c>
      <c r="B1205" s="66">
        <v>0</v>
      </c>
      <c r="C1205" s="99"/>
      <c r="D1205" s="81"/>
      <c r="E1205" s="83">
        <v>0</v>
      </c>
      <c r="F1205" s="84">
        <v>0</v>
      </c>
    </row>
    <row r="1206" spans="1:6" ht="15" x14ac:dyDescent="0.25">
      <c r="A1206" s="72"/>
      <c r="B1206" s="73"/>
      <c r="C1206" s="408" t="s">
        <v>176</v>
      </c>
      <c r="D1206" s="408"/>
      <c r="E1206" s="409"/>
      <c r="F1206" s="74">
        <v>0</v>
      </c>
    </row>
    <row r="1207" spans="1:6" ht="15" thickBot="1" x14ac:dyDescent="0.25">
      <c r="A1207" s="75"/>
      <c r="B1207" s="76"/>
      <c r="C1207" s="76"/>
      <c r="D1207" s="77"/>
      <c r="E1207" s="78"/>
      <c r="F1207" s="79"/>
    </row>
    <row r="1208" spans="1:6" ht="15.75" thickBot="1" x14ac:dyDescent="0.3">
      <c r="A1208" s="100" t="s">
        <v>177</v>
      </c>
      <c r="B1208" s="101"/>
      <c r="C1208" s="101"/>
      <c r="D1208" s="101"/>
      <c r="E1208" s="102"/>
      <c r="F1208" s="103">
        <f>+F1186+F1195+F1201</f>
        <v>214733.4375</v>
      </c>
    </row>
    <row r="1209" spans="1:6" ht="15" x14ac:dyDescent="0.25">
      <c r="A1209" s="104" t="s">
        <v>178</v>
      </c>
      <c r="B1209" s="105"/>
      <c r="C1209" s="105"/>
      <c r="D1209" s="105"/>
      <c r="E1209" s="105"/>
      <c r="F1209" s="106" t="s">
        <v>179</v>
      </c>
    </row>
    <row r="1210" spans="1:6" x14ac:dyDescent="0.2">
      <c r="A1210" s="399" t="s">
        <v>158</v>
      </c>
      <c r="B1210" s="400"/>
      <c r="C1210" s="400"/>
      <c r="D1210" s="400"/>
      <c r="E1210" s="107" t="s">
        <v>144</v>
      </c>
      <c r="F1210" s="108"/>
    </row>
    <row r="1211" spans="1:6" x14ac:dyDescent="0.2">
      <c r="A1211" s="399" t="s">
        <v>180</v>
      </c>
      <c r="B1211" s="400"/>
      <c r="C1211" s="400"/>
      <c r="D1211" s="400"/>
      <c r="E1211" s="109">
        <v>0.23</v>
      </c>
      <c r="F1211" s="108">
        <f>+E1211*F1208</f>
        <v>49388.690625000003</v>
      </c>
    </row>
    <row r="1212" spans="1:6" x14ac:dyDescent="0.2">
      <c r="A1212" s="399" t="s">
        <v>181</v>
      </c>
      <c r="B1212" s="400"/>
      <c r="C1212" s="400"/>
      <c r="D1212" s="400"/>
      <c r="E1212" s="109">
        <v>0.02</v>
      </c>
      <c r="F1212" s="108">
        <f>+E1212*F1208</f>
        <v>4294.6687499999998</v>
      </c>
    </row>
    <row r="1213" spans="1:6" x14ac:dyDescent="0.2">
      <c r="A1213" s="399" t="s">
        <v>182</v>
      </c>
      <c r="B1213" s="400"/>
      <c r="C1213" s="400"/>
      <c r="D1213" s="400"/>
      <c r="E1213" s="109">
        <v>0.05</v>
      </c>
      <c r="F1213" s="108">
        <f>+E1213*F1208</f>
        <v>10736.671875</v>
      </c>
    </row>
    <row r="1214" spans="1:6" x14ac:dyDescent="0.2">
      <c r="A1214" s="110" t="s">
        <v>183</v>
      </c>
      <c r="B1214" s="111"/>
      <c r="C1214" s="111"/>
      <c r="D1214" s="111"/>
      <c r="E1214" s="109"/>
      <c r="F1214" s="108">
        <v>0</v>
      </c>
    </row>
    <row r="1215" spans="1:6" ht="15" x14ac:dyDescent="0.2">
      <c r="A1215" s="112"/>
      <c r="B1215" s="113"/>
      <c r="C1215" s="113"/>
      <c r="D1215" s="113"/>
      <c r="E1215" s="114" t="s">
        <v>184</v>
      </c>
      <c r="F1215" s="115">
        <f>+F1211+F1212+F1213</f>
        <v>64420.03125</v>
      </c>
    </row>
    <row r="1216" spans="1:6" ht="15.75" thickBot="1" x14ac:dyDescent="0.3">
      <c r="A1216" s="401" t="s">
        <v>185</v>
      </c>
      <c r="B1216" s="402"/>
      <c r="C1216" s="402"/>
      <c r="D1216" s="402"/>
      <c r="E1216" s="402"/>
      <c r="F1216" s="116">
        <f>+F1208+F1215</f>
        <v>279153.46875</v>
      </c>
    </row>
    <row r="1217" spans="1:6" x14ac:dyDescent="0.2">
      <c r="A1217" s="41" t="s">
        <v>153</v>
      </c>
      <c r="B1217" s="117"/>
      <c r="C1217" s="43"/>
      <c r="D1217" s="44"/>
      <c r="E1217" s="45"/>
      <c r="F1217" s="46"/>
    </row>
    <row r="1218" spans="1:6" x14ac:dyDescent="0.2">
      <c r="A1218" s="48" t="s">
        <v>154</v>
      </c>
      <c r="B1218" s="403" t="s">
        <v>207</v>
      </c>
      <c r="C1218" s="404"/>
      <c r="D1218" s="404"/>
      <c r="E1218" s="404"/>
      <c r="F1218" s="405"/>
    </row>
    <row r="1219" spans="1:6" ht="15" thickBot="1" x14ac:dyDescent="0.25">
      <c r="A1219" s="50" t="s">
        <v>156</v>
      </c>
      <c r="B1219" s="51" t="s">
        <v>33</v>
      </c>
      <c r="C1219" s="52"/>
      <c r="D1219" s="53"/>
      <c r="E1219" s="52"/>
      <c r="F1219" s="54"/>
    </row>
    <row r="1220" spans="1:6" x14ac:dyDescent="0.2">
      <c r="A1220" s="55" t="s">
        <v>157</v>
      </c>
      <c r="B1220" s="56"/>
      <c r="C1220" s="57"/>
      <c r="D1220" s="58"/>
      <c r="E1220" s="59"/>
      <c r="F1220" s="60"/>
    </row>
    <row r="1221" spans="1:6" x14ac:dyDescent="0.2">
      <c r="A1221" s="61" t="s">
        <v>158</v>
      </c>
      <c r="B1221" s="62" t="s">
        <v>159</v>
      </c>
      <c r="C1221" s="406" t="s">
        <v>160</v>
      </c>
      <c r="D1221" s="407"/>
      <c r="E1221" s="63" t="s">
        <v>161</v>
      </c>
      <c r="F1221" s="64" t="s">
        <v>162</v>
      </c>
    </row>
    <row r="1222" spans="1:6" x14ac:dyDescent="0.2">
      <c r="A1222" s="65" t="s">
        <v>208</v>
      </c>
      <c r="B1222" s="66" t="s">
        <v>189</v>
      </c>
      <c r="C1222" s="120">
        <f>+Lista_prec_base!C40</f>
        <v>200000</v>
      </c>
      <c r="D1222" s="68"/>
      <c r="E1222" s="69">
        <v>26.431529546991563</v>
      </c>
      <c r="F1222" s="70">
        <f>+C1222/E1222</f>
        <v>7566.7206335686315</v>
      </c>
    </row>
    <row r="1223" spans="1:6" x14ac:dyDescent="0.2">
      <c r="A1223" s="65"/>
      <c r="B1223" s="66"/>
      <c r="C1223" s="67"/>
      <c r="D1223" s="68"/>
      <c r="E1223" s="69"/>
      <c r="F1223" s="70"/>
    </row>
    <row r="1224" spans="1:6" x14ac:dyDescent="0.2">
      <c r="A1224" s="65">
        <v>0</v>
      </c>
      <c r="B1224" s="66">
        <v>0</v>
      </c>
      <c r="C1224" s="67">
        <v>0</v>
      </c>
      <c r="D1224" s="68"/>
      <c r="E1224" s="71"/>
      <c r="F1224" s="70">
        <v>0</v>
      </c>
    </row>
    <row r="1225" spans="1:6" x14ac:dyDescent="0.2">
      <c r="A1225" s="65">
        <v>0</v>
      </c>
      <c r="B1225" s="66">
        <v>0</v>
      </c>
      <c r="C1225" s="67">
        <v>0</v>
      </c>
      <c r="D1225" s="68"/>
      <c r="E1225" s="71"/>
      <c r="F1225" s="70">
        <v>0</v>
      </c>
    </row>
    <row r="1226" spans="1:6" ht="15" x14ac:dyDescent="0.25">
      <c r="A1226" s="72"/>
      <c r="B1226" s="73"/>
      <c r="C1226" s="408" t="s">
        <v>163</v>
      </c>
      <c r="D1226" s="408"/>
      <c r="E1226" s="409"/>
      <c r="F1226" s="74">
        <f>SUM(F1222:F1225)</f>
        <v>7566.7206335686315</v>
      </c>
    </row>
    <row r="1227" spans="1:6" x14ac:dyDescent="0.2">
      <c r="A1227" s="75" t="s">
        <v>164</v>
      </c>
      <c r="B1227" s="76"/>
      <c r="C1227" s="76"/>
      <c r="D1227" s="77"/>
      <c r="E1227" s="78"/>
      <c r="F1227" s="79"/>
    </row>
    <row r="1228" spans="1:6" x14ac:dyDescent="0.2">
      <c r="A1228" s="61" t="s">
        <v>158</v>
      </c>
      <c r="B1228" s="62" t="s">
        <v>159</v>
      </c>
      <c r="C1228" s="406" t="s">
        <v>7</v>
      </c>
      <c r="D1228" s="407"/>
      <c r="E1228" s="63" t="s">
        <v>165</v>
      </c>
      <c r="F1228" s="64" t="s">
        <v>162</v>
      </c>
    </row>
    <row r="1229" spans="1:6" x14ac:dyDescent="0.2">
      <c r="A1229" s="85"/>
      <c r="B1229" s="66"/>
      <c r="C1229" s="81"/>
      <c r="D1229" s="82"/>
      <c r="E1229" s="83"/>
      <c r="F1229" s="84"/>
    </row>
    <row r="1230" spans="1:6" x14ac:dyDescent="0.2">
      <c r="A1230" s="65"/>
      <c r="B1230" s="66"/>
      <c r="C1230" s="81"/>
      <c r="D1230" s="82"/>
      <c r="E1230" s="83"/>
      <c r="F1230" s="84"/>
    </row>
    <row r="1231" spans="1:6" x14ac:dyDescent="0.2">
      <c r="A1231" s="65"/>
      <c r="B1231" s="66"/>
      <c r="C1231" s="121"/>
      <c r="D1231" s="82"/>
      <c r="E1231" s="83"/>
      <c r="F1231" s="84"/>
    </row>
    <row r="1232" spans="1:6" x14ac:dyDescent="0.2">
      <c r="A1232" s="65"/>
      <c r="B1232" s="66"/>
      <c r="C1232" s="81"/>
      <c r="D1232" s="82"/>
      <c r="E1232" s="83"/>
      <c r="F1232" s="84"/>
    </row>
    <row r="1233" spans="1:6" x14ac:dyDescent="0.2">
      <c r="A1233" s="65"/>
      <c r="B1233" s="66"/>
      <c r="C1233" s="81"/>
      <c r="D1233" s="82"/>
      <c r="E1233" s="83"/>
      <c r="F1233" s="84"/>
    </row>
    <row r="1234" spans="1:6" x14ac:dyDescent="0.2">
      <c r="A1234" s="65"/>
      <c r="B1234" s="66"/>
      <c r="C1234" s="81"/>
      <c r="D1234" s="82"/>
      <c r="E1234" s="83"/>
      <c r="F1234" s="84"/>
    </row>
    <row r="1235" spans="1:6" ht="15" x14ac:dyDescent="0.25">
      <c r="A1235" s="72"/>
      <c r="B1235" s="73"/>
      <c r="C1235" s="408" t="s">
        <v>167</v>
      </c>
      <c r="D1235" s="408"/>
      <c r="E1235" s="409"/>
      <c r="F1235" s="74">
        <f>SUM(F1229:F1234)</f>
        <v>0</v>
      </c>
    </row>
    <row r="1236" spans="1:6" x14ac:dyDescent="0.2">
      <c r="A1236" s="72" t="s">
        <v>168</v>
      </c>
      <c r="B1236" s="73"/>
      <c r="C1236" s="73"/>
      <c r="D1236" s="88"/>
      <c r="E1236" s="89"/>
      <c r="F1236" s="90"/>
    </row>
    <row r="1237" spans="1:6" x14ac:dyDescent="0.2">
      <c r="A1237" s="61" t="s">
        <v>158</v>
      </c>
      <c r="B1237" s="62" t="s">
        <v>159</v>
      </c>
      <c r="C1237" s="62" t="s">
        <v>169</v>
      </c>
      <c r="D1237" s="91" t="s">
        <v>170</v>
      </c>
      <c r="E1237" s="63"/>
      <c r="F1237" s="64" t="s">
        <v>171</v>
      </c>
    </row>
    <row r="1238" spans="1:6" x14ac:dyDescent="0.2">
      <c r="A1238" s="65"/>
      <c r="B1238" s="92"/>
      <c r="C1238" s="93"/>
      <c r="D1238" s="94"/>
      <c r="E1238" s="95"/>
      <c r="F1238" s="70"/>
    </row>
    <row r="1239" spans="1:6" x14ac:dyDescent="0.2">
      <c r="A1239" s="65">
        <v>0</v>
      </c>
      <c r="B1239" s="92">
        <v>0</v>
      </c>
      <c r="C1239" s="93"/>
      <c r="D1239" s="94">
        <v>0</v>
      </c>
      <c r="E1239" s="96"/>
      <c r="F1239" s="97">
        <v>0</v>
      </c>
    </row>
    <row r="1240" spans="1:6" x14ac:dyDescent="0.2">
      <c r="A1240" s="65">
        <v>0</v>
      </c>
      <c r="B1240" s="92">
        <v>0</v>
      </c>
      <c r="C1240" s="93"/>
      <c r="D1240" s="94">
        <v>0</v>
      </c>
      <c r="E1240" s="96"/>
      <c r="F1240" s="97">
        <v>0</v>
      </c>
    </row>
    <row r="1241" spans="1:6" ht="15" x14ac:dyDescent="0.25">
      <c r="A1241" s="72"/>
      <c r="B1241" s="73"/>
      <c r="C1241" s="408" t="s">
        <v>172</v>
      </c>
      <c r="D1241" s="408"/>
      <c r="E1241" s="409"/>
      <c r="F1241" s="74">
        <f>+F1238</f>
        <v>0</v>
      </c>
    </row>
    <row r="1242" spans="1:6" x14ac:dyDescent="0.2">
      <c r="A1242" s="75" t="s">
        <v>173</v>
      </c>
      <c r="B1242" s="76"/>
      <c r="C1242" s="76"/>
      <c r="D1242" s="77"/>
      <c r="E1242" s="78"/>
      <c r="F1242" s="79"/>
    </row>
    <row r="1243" spans="1:6" x14ac:dyDescent="0.2">
      <c r="A1243" s="61" t="s">
        <v>158</v>
      </c>
      <c r="B1243" s="62" t="s">
        <v>159</v>
      </c>
      <c r="C1243" s="62" t="s">
        <v>174</v>
      </c>
      <c r="D1243" s="98" t="s">
        <v>175</v>
      </c>
      <c r="E1243" s="63" t="s">
        <v>165</v>
      </c>
      <c r="F1243" s="64" t="s">
        <v>162</v>
      </c>
    </row>
    <row r="1244" spans="1:6" x14ac:dyDescent="0.2">
      <c r="A1244" s="65">
        <v>0</v>
      </c>
      <c r="B1244" s="66">
        <v>0</v>
      </c>
      <c r="C1244" s="99"/>
      <c r="D1244" s="81"/>
      <c r="E1244" s="83">
        <v>0</v>
      </c>
      <c r="F1244" s="84">
        <v>0</v>
      </c>
    </row>
    <row r="1245" spans="1:6" x14ac:dyDescent="0.2">
      <c r="A1245" s="65">
        <v>0</v>
      </c>
      <c r="B1245" s="66">
        <v>0</v>
      </c>
      <c r="C1245" s="99"/>
      <c r="D1245" s="81"/>
      <c r="E1245" s="83">
        <v>0</v>
      </c>
      <c r="F1245" s="84">
        <v>0</v>
      </c>
    </row>
    <row r="1246" spans="1:6" ht="15" x14ac:dyDescent="0.25">
      <c r="A1246" s="72"/>
      <c r="B1246" s="73"/>
      <c r="C1246" s="408" t="s">
        <v>176</v>
      </c>
      <c r="D1246" s="408"/>
      <c r="E1246" s="409"/>
      <c r="F1246" s="74">
        <v>0</v>
      </c>
    </row>
    <row r="1247" spans="1:6" ht="15" thickBot="1" x14ac:dyDescent="0.25">
      <c r="A1247" s="75"/>
      <c r="B1247" s="76"/>
      <c r="C1247" s="76"/>
      <c r="D1247" s="77"/>
      <c r="E1247" s="78"/>
      <c r="F1247" s="79"/>
    </row>
    <row r="1248" spans="1:6" ht="15.75" thickBot="1" x14ac:dyDescent="0.3">
      <c r="A1248" s="100" t="s">
        <v>177</v>
      </c>
      <c r="B1248" s="101"/>
      <c r="C1248" s="101"/>
      <c r="D1248" s="101"/>
      <c r="E1248" s="102"/>
      <c r="F1248" s="103">
        <f>+F1226+F1235+F1241</f>
        <v>7566.7206335686315</v>
      </c>
    </row>
    <row r="1249" spans="1:6" ht="15" x14ac:dyDescent="0.25">
      <c r="A1249" s="104" t="s">
        <v>178</v>
      </c>
      <c r="B1249" s="105"/>
      <c r="C1249" s="105"/>
      <c r="D1249" s="105"/>
      <c r="E1249" s="105"/>
      <c r="F1249" s="106" t="s">
        <v>179</v>
      </c>
    </row>
    <row r="1250" spans="1:6" x14ac:dyDescent="0.2">
      <c r="A1250" s="399" t="s">
        <v>158</v>
      </c>
      <c r="B1250" s="400"/>
      <c r="C1250" s="400"/>
      <c r="D1250" s="400"/>
      <c r="E1250" s="107" t="s">
        <v>144</v>
      </c>
      <c r="F1250" s="108"/>
    </row>
    <row r="1251" spans="1:6" x14ac:dyDescent="0.2">
      <c r="A1251" s="399" t="s">
        <v>180</v>
      </c>
      <c r="B1251" s="400"/>
      <c r="C1251" s="400"/>
      <c r="D1251" s="400"/>
      <c r="E1251" s="109">
        <v>0.23</v>
      </c>
      <c r="F1251" s="108">
        <f>+E1251*F1248</f>
        <v>1740.3457457207853</v>
      </c>
    </row>
    <row r="1252" spans="1:6" x14ac:dyDescent="0.2">
      <c r="A1252" s="399" t="s">
        <v>181</v>
      </c>
      <c r="B1252" s="400"/>
      <c r="C1252" s="400"/>
      <c r="D1252" s="400"/>
      <c r="E1252" s="109">
        <v>0.02</v>
      </c>
      <c r="F1252" s="108">
        <f>+E1252*F1248</f>
        <v>151.33441267137263</v>
      </c>
    </row>
    <row r="1253" spans="1:6" x14ac:dyDescent="0.2">
      <c r="A1253" s="399" t="s">
        <v>182</v>
      </c>
      <c r="B1253" s="400"/>
      <c r="C1253" s="400"/>
      <c r="D1253" s="400"/>
      <c r="E1253" s="109">
        <v>0.05</v>
      </c>
      <c r="F1253" s="108">
        <f>+E1253*F1248</f>
        <v>378.3360316784316</v>
      </c>
    </row>
    <row r="1254" spans="1:6" x14ac:dyDescent="0.2">
      <c r="A1254" s="110" t="s">
        <v>183</v>
      </c>
      <c r="B1254" s="111"/>
      <c r="C1254" s="111"/>
      <c r="D1254" s="111"/>
      <c r="E1254" s="109"/>
      <c r="F1254" s="108">
        <v>0</v>
      </c>
    </row>
    <row r="1255" spans="1:6" ht="15" x14ac:dyDescent="0.2">
      <c r="A1255" s="112"/>
      <c r="B1255" s="113"/>
      <c r="C1255" s="113"/>
      <c r="D1255" s="113"/>
      <c r="E1255" s="114" t="s">
        <v>184</v>
      </c>
      <c r="F1255" s="115">
        <f>+F1251+F1252+F1253</f>
        <v>2270.0161900705893</v>
      </c>
    </row>
    <row r="1256" spans="1:6" ht="15.75" thickBot="1" x14ac:dyDescent="0.3">
      <c r="A1256" s="401" t="s">
        <v>185</v>
      </c>
      <c r="B1256" s="402"/>
      <c r="C1256" s="402"/>
      <c r="D1256" s="402"/>
      <c r="E1256" s="402"/>
      <c r="F1256" s="116">
        <f>+F1248+F1255</f>
        <v>9836.7368236392213</v>
      </c>
    </row>
    <row r="1257" spans="1:6" x14ac:dyDescent="0.2">
      <c r="A1257" s="41" t="s">
        <v>153</v>
      </c>
      <c r="B1257" s="117"/>
      <c r="C1257" s="43"/>
      <c r="D1257" s="44"/>
      <c r="E1257" s="45"/>
      <c r="F1257" s="46"/>
    </row>
    <row r="1258" spans="1:6" x14ac:dyDescent="0.2">
      <c r="A1258" s="48" t="s">
        <v>154</v>
      </c>
      <c r="B1258" s="403" t="s">
        <v>209</v>
      </c>
      <c r="C1258" s="404"/>
      <c r="D1258" s="404"/>
      <c r="E1258" s="404"/>
      <c r="F1258" s="405"/>
    </row>
    <row r="1259" spans="1:6" ht="15" thickBot="1" x14ac:dyDescent="0.25">
      <c r="A1259" s="50" t="s">
        <v>156</v>
      </c>
      <c r="B1259" s="51" t="s">
        <v>33</v>
      </c>
      <c r="C1259" s="52"/>
      <c r="D1259" s="53"/>
      <c r="E1259" s="52"/>
      <c r="F1259" s="54"/>
    </row>
    <row r="1260" spans="1:6" x14ac:dyDescent="0.2">
      <c r="A1260" s="55" t="s">
        <v>157</v>
      </c>
      <c r="B1260" s="56"/>
      <c r="C1260" s="57"/>
      <c r="D1260" s="58"/>
      <c r="E1260" s="59"/>
      <c r="F1260" s="60"/>
    </row>
    <row r="1261" spans="1:6" x14ac:dyDescent="0.2">
      <c r="A1261" s="61" t="s">
        <v>158</v>
      </c>
      <c r="B1261" s="62" t="s">
        <v>159</v>
      </c>
      <c r="C1261" s="406" t="s">
        <v>160</v>
      </c>
      <c r="D1261" s="407"/>
      <c r="E1261" s="63" t="s">
        <v>161</v>
      </c>
      <c r="F1261" s="64" t="s">
        <v>162</v>
      </c>
    </row>
    <row r="1262" spans="1:6" x14ac:dyDescent="0.2">
      <c r="A1262" s="65" t="s">
        <v>210</v>
      </c>
      <c r="B1262" s="66" t="s">
        <v>211</v>
      </c>
      <c r="C1262" s="67">
        <v>45000</v>
      </c>
      <c r="D1262" s="68"/>
      <c r="E1262" s="69">
        <v>20</v>
      </c>
      <c r="F1262" s="70">
        <f>+C1262/E1262</f>
        <v>2250</v>
      </c>
    </row>
    <row r="1263" spans="1:6" x14ac:dyDescent="0.2">
      <c r="A1263" s="65"/>
      <c r="B1263" s="66"/>
      <c r="C1263" s="67"/>
      <c r="D1263" s="68"/>
      <c r="E1263" s="69"/>
      <c r="F1263" s="70"/>
    </row>
    <row r="1264" spans="1:6" x14ac:dyDescent="0.2">
      <c r="A1264" s="65">
        <v>0</v>
      </c>
      <c r="B1264" s="66">
        <v>0</v>
      </c>
      <c r="C1264" s="67">
        <v>0</v>
      </c>
      <c r="D1264" s="68"/>
      <c r="E1264" s="71"/>
      <c r="F1264" s="70">
        <v>0</v>
      </c>
    </row>
    <row r="1265" spans="1:6" x14ac:dyDescent="0.2">
      <c r="A1265" s="65">
        <v>0</v>
      </c>
      <c r="B1265" s="66">
        <v>0</v>
      </c>
      <c r="C1265" s="67">
        <v>0</v>
      </c>
      <c r="D1265" s="68"/>
      <c r="E1265" s="71"/>
      <c r="F1265" s="70">
        <v>0</v>
      </c>
    </row>
    <row r="1266" spans="1:6" ht="15" x14ac:dyDescent="0.25">
      <c r="A1266" s="72"/>
      <c r="B1266" s="73"/>
      <c r="C1266" s="408" t="s">
        <v>163</v>
      </c>
      <c r="D1266" s="408"/>
      <c r="E1266" s="409"/>
      <c r="F1266" s="74">
        <f>SUM(F1262:F1265)</f>
        <v>2250</v>
      </c>
    </row>
    <row r="1267" spans="1:6" x14ac:dyDescent="0.2">
      <c r="A1267" s="75" t="s">
        <v>164</v>
      </c>
      <c r="B1267" s="76"/>
      <c r="C1267" s="76"/>
      <c r="D1267" s="77"/>
      <c r="E1267" s="78"/>
      <c r="F1267" s="79"/>
    </row>
    <row r="1268" spans="1:6" x14ac:dyDescent="0.2">
      <c r="A1268" s="61" t="s">
        <v>158</v>
      </c>
      <c r="B1268" s="62" t="s">
        <v>159</v>
      </c>
      <c r="C1268" s="406" t="s">
        <v>7</v>
      </c>
      <c r="D1268" s="407"/>
      <c r="E1268" s="63" t="s">
        <v>165</v>
      </c>
      <c r="F1268" s="64" t="s">
        <v>162</v>
      </c>
    </row>
    <row r="1269" spans="1:6" x14ac:dyDescent="0.2">
      <c r="A1269" s="85" t="s">
        <v>212</v>
      </c>
      <c r="B1269" s="66" t="s">
        <v>15</v>
      </c>
      <c r="C1269" s="81">
        <f>+Lista_prec_base!C30</f>
        <v>12500</v>
      </c>
      <c r="D1269" s="82"/>
      <c r="E1269" s="83">
        <v>1</v>
      </c>
      <c r="F1269" s="84">
        <f>+E1269*C1269</f>
        <v>12500</v>
      </c>
    </row>
    <row r="1270" spans="1:6" x14ac:dyDescent="0.2">
      <c r="A1270" s="65" t="s">
        <v>213</v>
      </c>
      <c r="B1270" s="66" t="s">
        <v>214</v>
      </c>
      <c r="C1270" s="81">
        <f>+Lista_prec_base!C29</f>
        <v>56000</v>
      </c>
      <c r="D1270" s="82"/>
      <c r="E1270" s="83">
        <v>1.1634737103174604</v>
      </c>
      <c r="F1270" s="84">
        <f>+E1270*C1270</f>
        <v>65154.527777777781</v>
      </c>
    </row>
    <row r="1271" spans="1:6" x14ac:dyDescent="0.2">
      <c r="A1271" s="65"/>
      <c r="B1271" s="66"/>
      <c r="C1271" s="121"/>
      <c r="D1271" s="82"/>
      <c r="E1271" s="83"/>
      <c r="F1271" s="84"/>
    </row>
    <row r="1272" spans="1:6" x14ac:dyDescent="0.2">
      <c r="A1272" s="65"/>
      <c r="B1272" s="66"/>
      <c r="C1272" s="81"/>
      <c r="D1272" s="82"/>
      <c r="E1272" s="83"/>
      <c r="F1272" s="84"/>
    </row>
    <row r="1273" spans="1:6" x14ac:dyDescent="0.2">
      <c r="A1273" s="65"/>
      <c r="B1273" s="66"/>
      <c r="C1273" s="81"/>
      <c r="D1273" s="82"/>
      <c r="E1273" s="83"/>
      <c r="F1273" s="84"/>
    </row>
    <row r="1274" spans="1:6" x14ac:dyDescent="0.2">
      <c r="A1274" s="65"/>
      <c r="B1274" s="66"/>
      <c r="C1274" s="81"/>
      <c r="D1274" s="82"/>
      <c r="E1274" s="83"/>
      <c r="F1274" s="84"/>
    </row>
    <row r="1275" spans="1:6" ht="15" x14ac:dyDescent="0.25">
      <c r="A1275" s="72"/>
      <c r="B1275" s="73"/>
      <c r="C1275" s="408" t="s">
        <v>167</v>
      </c>
      <c r="D1275" s="408"/>
      <c r="E1275" s="409"/>
      <c r="F1275" s="74">
        <f>SUM(F1269:F1274)</f>
        <v>77654.527777777781</v>
      </c>
    </row>
    <row r="1276" spans="1:6" x14ac:dyDescent="0.2">
      <c r="A1276" s="72" t="s">
        <v>168</v>
      </c>
      <c r="B1276" s="73"/>
      <c r="C1276" s="73"/>
      <c r="D1276" s="88"/>
      <c r="E1276" s="89"/>
      <c r="F1276" s="90"/>
    </row>
    <row r="1277" spans="1:6" x14ac:dyDescent="0.2">
      <c r="A1277" s="61" t="s">
        <v>158</v>
      </c>
      <c r="B1277" s="62" t="s">
        <v>159</v>
      </c>
      <c r="C1277" s="62" t="s">
        <v>169</v>
      </c>
      <c r="D1277" s="91" t="s">
        <v>170</v>
      </c>
      <c r="E1277" s="63"/>
      <c r="F1277" s="64" t="s">
        <v>171</v>
      </c>
    </row>
    <row r="1278" spans="1:6" x14ac:dyDescent="0.2">
      <c r="A1278" s="65" t="s">
        <v>190</v>
      </c>
      <c r="B1278" s="92" t="s">
        <v>191</v>
      </c>
      <c r="C1278" s="93">
        <v>1.65</v>
      </c>
      <c r="D1278" s="94">
        <f>+Lista_prec_base!C43</f>
        <v>67000</v>
      </c>
      <c r="E1278" s="95">
        <v>5.4</v>
      </c>
      <c r="F1278" s="70">
        <f>+C1278*D1278/E1278</f>
        <v>20472.222222222223</v>
      </c>
    </row>
    <row r="1279" spans="1:6" x14ac:dyDescent="0.2">
      <c r="A1279" s="65">
        <v>0</v>
      </c>
      <c r="B1279" s="92">
        <v>0</v>
      </c>
      <c r="C1279" s="93"/>
      <c r="D1279" s="94">
        <v>0</v>
      </c>
      <c r="E1279" s="96"/>
      <c r="F1279" s="97">
        <v>0</v>
      </c>
    </row>
    <row r="1280" spans="1:6" x14ac:dyDescent="0.2">
      <c r="A1280" s="65">
        <v>0</v>
      </c>
      <c r="B1280" s="92">
        <v>0</v>
      </c>
      <c r="C1280" s="93"/>
      <c r="D1280" s="94">
        <v>0</v>
      </c>
      <c r="E1280" s="96"/>
      <c r="F1280" s="97">
        <v>0</v>
      </c>
    </row>
    <row r="1281" spans="1:6" ht="15" x14ac:dyDescent="0.25">
      <c r="A1281" s="72"/>
      <c r="B1281" s="73"/>
      <c r="C1281" s="408" t="s">
        <v>172</v>
      </c>
      <c r="D1281" s="408"/>
      <c r="E1281" s="409"/>
      <c r="F1281" s="74">
        <f>+F1278</f>
        <v>20472.222222222223</v>
      </c>
    </row>
    <row r="1282" spans="1:6" x14ac:dyDescent="0.2">
      <c r="A1282" s="75" t="s">
        <v>173</v>
      </c>
      <c r="B1282" s="76"/>
      <c r="C1282" s="76"/>
      <c r="D1282" s="77"/>
      <c r="E1282" s="78"/>
      <c r="F1282" s="79"/>
    </row>
    <row r="1283" spans="1:6" x14ac:dyDescent="0.2">
      <c r="A1283" s="61" t="s">
        <v>158</v>
      </c>
      <c r="B1283" s="62" t="s">
        <v>159</v>
      </c>
      <c r="C1283" s="62" t="s">
        <v>174</v>
      </c>
      <c r="D1283" s="98" t="s">
        <v>175</v>
      </c>
      <c r="E1283" s="63" t="s">
        <v>165</v>
      </c>
      <c r="F1283" s="64" t="s">
        <v>162</v>
      </c>
    </row>
    <row r="1284" spans="1:6" x14ac:dyDescent="0.2">
      <c r="A1284" s="65">
        <v>0</v>
      </c>
      <c r="B1284" s="66">
        <v>0</v>
      </c>
      <c r="C1284" s="99"/>
      <c r="D1284" s="81"/>
      <c r="E1284" s="83">
        <v>0</v>
      </c>
      <c r="F1284" s="84">
        <v>0</v>
      </c>
    </row>
    <row r="1285" spans="1:6" x14ac:dyDescent="0.2">
      <c r="A1285" s="65">
        <v>0</v>
      </c>
      <c r="B1285" s="66">
        <v>0</v>
      </c>
      <c r="C1285" s="99"/>
      <c r="D1285" s="81"/>
      <c r="E1285" s="83">
        <v>0</v>
      </c>
      <c r="F1285" s="84">
        <v>0</v>
      </c>
    </row>
    <row r="1286" spans="1:6" ht="15" x14ac:dyDescent="0.25">
      <c r="A1286" s="72"/>
      <c r="B1286" s="73"/>
      <c r="C1286" s="408" t="s">
        <v>176</v>
      </c>
      <c r="D1286" s="408"/>
      <c r="E1286" s="409"/>
      <c r="F1286" s="74">
        <v>0</v>
      </c>
    </row>
    <row r="1287" spans="1:6" ht="15" thickBot="1" x14ac:dyDescent="0.25">
      <c r="A1287" s="75"/>
      <c r="B1287" s="76"/>
      <c r="C1287" s="76"/>
      <c r="D1287" s="77"/>
      <c r="E1287" s="78"/>
      <c r="F1287" s="79"/>
    </row>
    <row r="1288" spans="1:6" ht="15.75" thickBot="1" x14ac:dyDescent="0.3">
      <c r="A1288" s="100" t="s">
        <v>177</v>
      </c>
      <c r="B1288" s="101"/>
      <c r="C1288" s="101"/>
      <c r="D1288" s="101"/>
      <c r="E1288" s="102"/>
      <c r="F1288" s="103">
        <f>+F1266+F1275+F1281</f>
        <v>100376.75</v>
      </c>
    </row>
    <row r="1289" spans="1:6" ht="15" x14ac:dyDescent="0.25">
      <c r="A1289" s="104" t="s">
        <v>178</v>
      </c>
      <c r="B1289" s="105"/>
      <c r="C1289" s="105"/>
      <c r="D1289" s="105"/>
      <c r="E1289" s="105"/>
      <c r="F1289" s="106" t="s">
        <v>179</v>
      </c>
    </row>
    <row r="1290" spans="1:6" x14ac:dyDescent="0.2">
      <c r="A1290" s="399" t="s">
        <v>158</v>
      </c>
      <c r="B1290" s="400"/>
      <c r="C1290" s="400"/>
      <c r="D1290" s="400"/>
      <c r="E1290" s="107" t="s">
        <v>144</v>
      </c>
      <c r="F1290" s="108"/>
    </row>
    <row r="1291" spans="1:6" x14ac:dyDescent="0.2">
      <c r="A1291" s="399" t="s">
        <v>180</v>
      </c>
      <c r="B1291" s="400"/>
      <c r="C1291" s="400"/>
      <c r="D1291" s="400"/>
      <c r="E1291" s="109">
        <v>0.23</v>
      </c>
      <c r="F1291" s="108">
        <f>+E1291*F1288</f>
        <v>23086.6525</v>
      </c>
    </row>
    <row r="1292" spans="1:6" x14ac:dyDescent="0.2">
      <c r="A1292" s="399" t="s">
        <v>181</v>
      </c>
      <c r="B1292" s="400"/>
      <c r="C1292" s="400"/>
      <c r="D1292" s="400"/>
      <c r="E1292" s="109">
        <v>0.02</v>
      </c>
      <c r="F1292" s="108">
        <f>+E1292*F1288</f>
        <v>2007.5350000000001</v>
      </c>
    </row>
    <row r="1293" spans="1:6" x14ac:dyDescent="0.2">
      <c r="A1293" s="399" t="s">
        <v>182</v>
      </c>
      <c r="B1293" s="400"/>
      <c r="C1293" s="400"/>
      <c r="D1293" s="400"/>
      <c r="E1293" s="109">
        <v>0.05</v>
      </c>
      <c r="F1293" s="108">
        <f>+E1293*F1288</f>
        <v>5018.8375000000005</v>
      </c>
    </row>
    <row r="1294" spans="1:6" x14ac:dyDescent="0.2">
      <c r="A1294" s="110" t="s">
        <v>183</v>
      </c>
      <c r="B1294" s="111"/>
      <c r="C1294" s="111"/>
      <c r="D1294" s="111"/>
      <c r="E1294" s="109"/>
      <c r="F1294" s="108">
        <v>0</v>
      </c>
    </row>
    <row r="1295" spans="1:6" ht="15" x14ac:dyDescent="0.2">
      <c r="A1295" s="112"/>
      <c r="B1295" s="113"/>
      <c r="C1295" s="113"/>
      <c r="D1295" s="113"/>
      <c r="E1295" s="114" t="s">
        <v>184</v>
      </c>
      <c r="F1295" s="115">
        <f>+F1291+F1292+F1293</f>
        <v>30113.025000000001</v>
      </c>
    </row>
    <row r="1296" spans="1:6" ht="15.75" thickBot="1" x14ac:dyDescent="0.3">
      <c r="A1296" s="401" t="s">
        <v>185</v>
      </c>
      <c r="B1296" s="402"/>
      <c r="C1296" s="402"/>
      <c r="D1296" s="402"/>
      <c r="E1296" s="402"/>
      <c r="F1296" s="116">
        <f>+F1288+F1295</f>
        <v>130489.77499999999</v>
      </c>
    </row>
    <row r="1297" spans="1:7" x14ac:dyDescent="0.2">
      <c r="A1297" s="41" t="s">
        <v>153</v>
      </c>
      <c r="B1297" s="42" t="s">
        <v>29</v>
      </c>
      <c r="C1297" s="43"/>
      <c r="D1297" s="44"/>
      <c r="E1297" s="45"/>
      <c r="F1297" s="46"/>
    </row>
    <row r="1298" spans="1:7" ht="15" customHeight="1" x14ac:dyDescent="0.2">
      <c r="A1298" s="48" t="s">
        <v>154</v>
      </c>
      <c r="B1298" s="403" t="s">
        <v>238</v>
      </c>
      <c r="C1298" s="404"/>
      <c r="D1298" s="404"/>
      <c r="E1298" s="404"/>
      <c r="F1298" s="405"/>
      <c r="G1298" s="49">
        <v>1</v>
      </c>
    </row>
    <row r="1299" spans="1:7" ht="15" thickBot="1" x14ac:dyDescent="0.25">
      <c r="A1299" s="50" t="s">
        <v>156</v>
      </c>
      <c r="B1299" s="51" t="s">
        <v>33</v>
      </c>
      <c r="C1299" s="52"/>
      <c r="D1299" s="53"/>
      <c r="E1299" s="52"/>
      <c r="F1299" s="54"/>
    </row>
    <row r="1300" spans="1:7" x14ac:dyDescent="0.2">
      <c r="A1300" s="55" t="s">
        <v>157</v>
      </c>
      <c r="B1300" s="56"/>
      <c r="C1300" s="57"/>
      <c r="D1300" s="58"/>
      <c r="E1300" s="59"/>
      <c r="F1300" s="60"/>
    </row>
    <row r="1301" spans="1:7" x14ac:dyDescent="0.2">
      <c r="A1301" s="61" t="s">
        <v>158</v>
      </c>
      <c r="B1301" s="62" t="s">
        <v>159</v>
      </c>
      <c r="C1301" s="406" t="s">
        <v>160</v>
      </c>
      <c r="D1301" s="407"/>
      <c r="E1301" s="63" t="s">
        <v>161</v>
      </c>
      <c r="F1301" s="64" t="s">
        <v>162</v>
      </c>
    </row>
    <row r="1302" spans="1:7" x14ac:dyDescent="0.2">
      <c r="A1302" s="65">
        <v>0</v>
      </c>
      <c r="B1302" s="66">
        <v>0</v>
      </c>
      <c r="C1302" s="67">
        <v>0</v>
      </c>
      <c r="D1302" s="68"/>
      <c r="E1302" s="69"/>
      <c r="F1302" s="70"/>
    </row>
    <row r="1303" spans="1:7" x14ac:dyDescent="0.2">
      <c r="A1303" s="65">
        <v>0</v>
      </c>
      <c r="B1303" s="66">
        <v>0</v>
      </c>
      <c r="C1303" s="67">
        <v>0</v>
      </c>
      <c r="D1303" s="68"/>
      <c r="E1303" s="69"/>
      <c r="F1303" s="70"/>
    </row>
    <row r="1304" spans="1:7" x14ac:dyDescent="0.2">
      <c r="A1304" s="65">
        <v>0</v>
      </c>
      <c r="B1304" s="66">
        <v>0</v>
      </c>
      <c r="C1304" s="67">
        <v>0</v>
      </c>
      <c r="D1304" s="68"/>
      <c r="E1304" s="71"/>
      <c r="F1304" s="70"/>
    </row>
    <row r="1305" spans="1:7" x14ac:dyDescent="0.2">
      <c r="A1305" s="65">
        <v>0</v>
      </c>
      <c r="B1305" s="66">
        <v>0</v>
      </c>
      <c r="C1305" s="67">
        <v>0</v>
      </c>
      <c r="D1305" s="68"/>
      <c r="E1305" s="71"/>
      <c r="F1305" s="70"/>
    </row>
    <row r="1306" spans="1:7" ht="15" x14ac:dyDescent="0.25">
      <c r="A1306" s="72"/>
      <c r="B1306" s="73"/>
      <c r="C1306" s="408" t="s">
        <v>163</v>
      </c>
      <c r="D1306" s="408"/>
      <c r="E1306" s="409"/>
      <c r="F1306" s="74">
        <f>SUM(F1302:F1305)</f>
        <v>0</v>
      </c>
    </row>
    <row r="1307" spans="1:7" x14ac:dyDescent="0.2">
      <c r="A1307" s="75" t="s">
        <v>164</v>
      </c>
      <c r="B1307" s="76"/>
      <c r="C1307" s="76"/>
      <c r="D1307" s="77"/>
      <c r="E1307" s="78"/>
      <c r="F1307" s="79"/>
    </row>
    <row r="1308" spans="1:7" x14ac:dyDescent="0.2">
      <c r="A1308" s="61" t="s">
        <v>158</v>
      </c>
      <c r="B1308" s="62" t="s">
        <v>159</v>
      </c>
      <c r="C1308" s="406" t="s">
        <v>7</v>
      </c>
      <c r="D1308" s="407"/>
      <c r="E1308" s="63" t="s">
        <v>165</v>
      </c>
      <c r="F1308" s="64" t="s">
        <v>162</v>
      </c>
    </row>
    <row r="1309" spans="1:7" x14ac:dyDescent="0.2">
      <c r="A1309" s="80" t="s">
        <v>239</v>
      </c>
      <c r="B1309" s="66" t="s">
        <v>33</v>
      </c>
      <c r="C1309" s="81">
        <v>1</v>
      </c>
      <c r="D1309" s="82"/>
      <c r="E1309" s="83">
        <f>+Lista_prec_base!C7</f>
        <v>17367</v>
      </c>
      <c r="F1309" s="84">
        <f>+E1309*C1309</f>
        <v>17367</v>
      </c>
    </row>
    <row r="1310" spans="1:7" x14ac:dyDescent="0.2">
      <c r="A1310" s="85">
        <v>0</v>
      </c>
      <c r="B1310" s="66">
        <v>0</v>
      </c>
      <c r="C1310" s="86"/>
      <c r="D1310" s="82"/>
      <c r="E1310" s="83">
        <v>0</v>
      </c>
      <c r="F1310" s="84">
        <v>0</v>
      </c>
    </row>
    <row r="1311" spans="1:7" x14ac:dyDescent="0.2">
      <c r="A1311" s="65">
        <v>0</v>
      </c>
      <c r="B1311" s="66">
        <v>0</v>
      </c>
      <c r="C1311" s="87"/>
      <c r="D1311" s="82"/>
      <c r="E1311" s="83">
        <v>0</v>
      </c>
      <c r="F1311" s="84">
        <v>0</v>
      </c>
    </row>
    <row r="1312" spans="1:7" x14ac:dyDescent="0.2">
      <c r="A1312" s="65">
        <v>0</v>
      </c>
      <c r="B1312" s="66">
        <v>0</v>
      </c>
      <c r="C1312" s="87"/>
      <c r="D1312" s="82"/>
      <c r="E1312" s="83">
        <v>0</v>
      </c>
      <c r="F1312" s="84">
        <v>0</v>
      </c>
    </row>
    <row r="1313" spans="1:6" x14ac:dyDescent="0.2">
      <c r="A1313" s="65">
        <v>0</v>
      </c>
      <c r="B1313" s="66">
        <v>0</v>
      </c>
      <c r="C1313" s="87"/>
      <c r="D1313" s="82"/>
      <c r="E1313" s="83">
        <v>0</v>
      </c>
      <c r="F1313" s="84">
        <v>0</v>
      </c>
    </row>
    <row r="1314" spans="1:6" ht="15" x14ac:dyDescent="0.25">
      <c r="A1314" s="72"/>
      <c r="B1314" s="73"/>
      <c r="C1314" s="408" t="s">
        <v>167</v>
      </c>
      <c r="D1314" s="408"/>
      <c r="E1314" s="409"/>
      <c r="F1314" s="74">
        <f>+F1309</f>
        <v>17367</v>
      </c>
    </row>
    <row r="1315" spans="1:6" x14ac:dyDescent="0.2">
      <c r="A1315" s="72" t="s">
        <v>168</v>
      </c>
      <c r="B1315" s="73"/>
      <c r="C1315" s="73"/>
      <c r="D1315" s="88"/>
      <c r="E1315" s="89"/>
      <c r="F1315" s="90"/>
    </row>
    <row r="1316" spans="1:6" x14ac:dyDescent="0.2">
      <c r="A1316" s="61" t="s">
        <v>158</v>
      </c>
      <c r="B1316" s="62" t="s">
        <v>159</v>
      </c>
      <c r="C1316" s="62" t="s">
        <v>169</v>
      </c>
      <c r="D1316" s="91" t="s">
        <v>170</v>
      </c>
      <c r="E1316" s="63"/>
      <c r="F1316" s="64" t="s">
        <v>171</v>
      </c>
    </row>
    <row r="1317" spans="1:6" x14ac:dyDescent="0.2">
      <c r="A1317" s="65">
        <v>0</v>
      </c>
      <c r="B1317" s="92">
        <v>0</v>
      </c>
      <c r="C1317" s="93"/>
      <c r="D1317" s="94"/>
      <c r="E1317" s="95"/>
      <c r="F1317" s="70"/>
    </row>
    <row r="1318" spans="1:6" x14ac:dyDescent="0.2">
      <c r="A1318" s="65">
        <v>0</v>
      </c>
      <c r="B1318" s="92">
        <v>0</v>
      </c>
      <c r="C1318" s="93"/>
      <c r="D1318" s="94">
        <v>0</v>
      </c>
      <c r="E1318" s="96"/>
      <c r="F1318" s="97">
        <v>0</v>
      </c>
    </row>
    <row r="1319" spans="1:6" x14ac:dyDescent="0.2">
      <c r="A1319" s="65">
        <v>0</v>
      </c>
      <c r="B1319" s="92">
        <v>0</v>
      </c>
      <c r="C1319" s="93"/>
      <c r="D1319" s="94">
        <v>0</v>
      </c>
      <c r="E1319" s="96"/>
      <c r="F1319" s="97">
        <v>0</v>
      </c>
    </row>
    <row r="1320" spans="1:6" ht="15" x14ac:dyDescent="0.25">
      <c r="A1320" s="72"/>
      <c r="B1320" s="73"/>
      <c r="C1320" s="408" t="s">
        <v>172</v>
      </c>
      <c r="D1320" s="408"/>
      <c r="E1320" s="409"/>
      <c r="F1320" s="74"/>
    </row>
    <row r="1321" spans="1:6" x14ac:dyDescent="0.2">
      <c r="A1321" s="75" t="s">
        <v>173</v>
      </c>
      <c r="B1321" s="76"/>
      <c r="C1321" s="76"/>
      <c r="D1321" s="77"/>
      <c r="E1321" s="78"/>
      <c r="F1321" s="79"/>
    </row>
    <row r="1322" spans="1:6" x14ac:dyDescent="0.2">
      <c r="A1322" s="61" t="s">
        <v>158</v>
      </c>
      <c r="B1322" s="62" t="s">
        <v>159</v>
      </c>
      <c r="C1322" s="62" t="s">
        <v>174</v>
      </c>
      <c r="D1322" s="98" t="s">
        <v>175</v>
      </c>
      <c r="E1322" s="63" t="s">
        <v>165</v>
      </c>
      <c r="F1322" s="64" t="s">
        <v>162</v>
      </c>
    </row>
    <row r="1323" spans="1:6" x14ac:dyDescent="0.2">
      <c r="A1323" s="65">
        <v>0</v>
      </c>
      <c r="B1323" s="66">
        <v>0</v>
      </c>
      <c r="C1323" s="99"/>
      <c r="D1323" s="81"/>
      <c r="E1323" s="83">
        <v>0</v>
      </c>
      <c r="F1323" s="84">
        <v>0</v>
      </c>
    </row>
    <row r="1324" spans="1:6" x14ac:dyDescent="0.2">
      <c r="A1324" s="65">
        <v>0</v>
      </c>
      <c r="B1324" s="66">
        <v>0</v>
      </c>
      <c r="C1324" s="99"/>
      <c r="D1324" s="81"/>
      <c r="E1324" s="83">
        <v>0</v>
      </c>
      <c r="F1324" s="84">
        <v>0</v>
      </c>
    </row>
    <row r="1325" spans="1:6" ht="15" x14ac:dyDescent="0.25">
      <c r="A1325" s="72"/>
      <c r="B1325" s="73"/>
      <c r="C1325" s="408" t="s">
        <v>176</v>
      </c>
      <c r="D1325" s="408"/>
      <c r="E1325" s="409"/>
      <c r="F1325" s="74">
        <v>0</v>
      </c>
    </row>
    <row r="1326" spans="1:6" ht="15" thickBot="1" x14ac:dyDescent="0.25">
      <c r="A1326" s="75"/>
      <c r="B1326" s="76"/>
      <c r="C1326" s="76"/>
      <c r="D1326" s="77"/>
      <c r="E1326" s="78"/>
      <c r="F1326" s="79"/>
    </row>
    <row r="1327" spans="1:6" ht="15.75" thickBot="1" x14ac:dyDescent="0.3">
      <c r="A1327" s="100" t="s">
        <v>177</v>
      </c>
      <c r="B1327" s="101"/>
      <c r="C1327" s="101"/>
      <c r="D1327" s="101"/>
      <c r="E1327" s="102"/>
      <c r="F1327" s="103">
        <f>+F1314</f>
        <v>17367</v>
      </c>
    </row>
    <row r="1328" spans="1:6" ht="15" x14ac:dyDescent="0.25">
      <c r="A1328" s="104" t="s">
        <v>178</v>
      </c>
      <c r="B1328" s="105"/>
      <c r="C1328" s="105"/>
      <c r="D1328" s="105"/>
      <c r="E1328" s="105"/>
      <c r="F1328" s="106" t="s">
        <v>179</v>
      </c>
    </row>
    <row r="1329" spans="1:7" x14ac:dyDescent="0.2">
      <c r="A1329" s="413" t="s">
        <v>158</v>
      </c>
      <c r="B1329" s="414"/>
      <c r="C1329" s="414"/>
      <c r="D1329" s="415"/>
      <c r="E1329" s="107" t="s">
        <v>144</v>
      </c>
      <c r="F1329" s="108"/>
    </row>
    <row r="1330" spans="1:7" x14ac:dyDescent="0.2">
      <c r="A1330" s="413" t="s">
        <v>180</v>
      </c>
      <c r="B1330" s="414"/>
      <c r="C1330" s="414"/>
      <c r="D1330" s="415"/>
      <c r="E1330" s="109">
        <v>0.18</v>
      </c>
      <c r="F1330" s="108">
        <f>+E1330*F1327</f>
        <v>3126.06</v>
      </c>
    </row>
    <row r="1331" spans="1:7" x14ac:dyDescent="0.2">
      <c r="A1331" s="413" t="s">
        <v>181</v>
      </c>
      <c r="B1331" s="414"/>
      <c r="C1331" s="414"/>
      <c r="D1331" s="415"/>
      <c r="E1331" s="109"/>
      <c r="F1331" s="108"/>
    </row>
    <row r="1332" spans="1:7" x14ac:dyDescent="0.2">
      <c r="A1332" s="413" t="s">
        <v>182</v>
      </c>
      <c r="B1332" s="414"/>
      <c r="C1332" s="414"/>
      <c r="D1332" s="415"/>
      <c r="E1332" s="109"/>
      <c r="F1332" s="108"/>
    </row>
    <row r="1333" spans="1:7" x14ac:dyDescent="0.2">
      <c r="A1333" s="110" t="s">
        <v>183</v>
      </c>
      <c r="B1333" s="111"/>
      <c r="C1333" s="111"/>
      <c r="D1333" s="111"/>
      <c r="E1333" s="109">
        <v>0.16</v>
      </c>
      <c r="F1333" s="108">
        <f>+E1333*F1327</f>
        <v>2778.7200000000003</v>
      </c>
    </row>
    <row r="1334" spans="1:7" ht="15" x14ac:dyDescent="0.2">
      <c r="A1334" s="112"/>
      <c r="B1334" s="113"/>
      <c r="C1334" s="113"/>
      <c r="D1334" s="113"/>
      <c r="E1334" s="114" t="s">
        <v>184</v>
      </c>
      <c r="F1334" s="115">
        <f>+F1330+F1333</f>
        <v>5904.7800000000007</v>
      </c>
    </row>
    <row r="1335" spans="1:7" ht="15.75" thickBot="1" x14ac:dyDescent="0.3">
      <c r="A1335" s="416" t="s">
        <v>185</v>
      </c>
      <c r="B1335" s="417"/>
      <c r="C1335" s="417"/>
      <c r="D1335" s="417"/>
      <c r="E1335" s="418"/>
      <c r="F1335" s="116">
        <f>ROUND(F1327+F1334,0)</f>
        <v>23272</v>
      </c>
    </row>
    <row r="1336" spans="1:7" x14ac:dyDescent="0.2">
      <c r="A1336" s="41" t="s">
        <v>153</v>
      </c>
      <c r="B1336" s="42" t="s">
        <v>47</v>
      </c>
      <c r="C1336" s="43"/>
      <c r="D1336" s="44"/>
      <c r="E1336" s="45"/>
      <c r="F1336" s="46"/>
    </row>
    <row r="1337" spans="1:7" ht="15" customHeight="1" x14ac:dyDescent="0.2">
      <c r="A1337" s="48" t="s">
        <v>154</v>
      </c>
      <c r="B1337" s="403" t="s">
        <v>48</v>
      </c>
      <c r="C1337" s="404"/>
      <c r="D1337" s="404"/>
      <c r="E1337" s="404"/>
      <c r="F1337" s="405"/>
      <c r="G1337" s="49"/>
    </row>
    <row r="1338" spans="1:7" ht="15" thickBot="1" x14ac:dyDescent="0.25">
      <c r="A1338" s="50" t="s">
        <v>156</v>
      </c>
      <c r="B1338" s="51" t="s">
        <v>15</v>
      </c>
      <c r="C1338" s="52"/>
      <c r="D1338" s="53"/>
      <c r="E1338" s="52"/>
      <c r="F1338" s="54"/>
    </row>
    <row r="1339" spans="1:7" x14ac:dyDescent="0.2">
      <c r="A1339" s="55" t="s">
        <v>157</v>
      </c>
      <c r="B1339" s="56"/>
      <c r="C1339" s="57"/>
      <c r="D1339" s="58"/>
      <c r="E1339" s="59"/>
      <c r="F1339" s="60"/>
    </row>
    <row r="1340" spans="1:7" x14ac:dyDescent="0.2">
      <c r="A1340" s="61" t="s">
        <v>158</v>
      </c>
      <c r="B1340" s="62" t="s">
        <v>159</v>
      </c>
      <c r="C1340" s="406" t="s">
        <v>160</v>
      </c>
      <c r="D1340" s="407"/>
      <c r="E1340" s="63" t="s">
        <v>161</v>
      </c>
      <c r="F1340" s="64" t="s">
        <v>162</v>
      </c>
    </row>
    <row r="1341" spans="1:7" x14ac:dyDescent="0.2">
      <c r="A1341" s="65">
        <v>0</v>
      </c>
      <c r="B1341" s="66">
        <v>0</v>
      </c>
      <c r="C1341" s="67">
        <v>0</v>
      </c>
      <c r="D1341" s="68"/>
      <c r="E1341" s="69"/>
      <c r="F1341" s="70"/>
    </row>
    <row r="1342" spans="1:7" x14ac:dyDescent="0.2">
      <c r="A1342" s="65">
        <v>0</v>
      </c>
      <c r="B1342" s="66">
        <v>0</v>
      </c>
      <c r="C1342" s="67">
        <v>0</v>
      </c>
      <c r="D1342" s="68"/>
      <c r="E1342" s="69"/>
      <c r="F1342" s="70"/>
    </row>
    <row r="1343" spans="1:7" x14ac:dyDescent="0.2">
      <c r="A1343" s="65">
        <v>0</v>
      </c>
      <c r="B1343" s="66">
        <v>0</v>
      </c>
      <c r="C1343" s="67">
        <v>0</v>
      </c>
      <c r="D1343" s="68"/>
      <c r="E1343" s="71"/>
      <c r="F1343" s="70"/>
    </row>
    <row r="1344" spans="1:7" x14ac:dyDescent="0.2">
      <c r="A1344" s="65">
        <v>0</v>
      </c>
      <c r="B1344" s="66">
        <v>0</v>
      </c>
      <c r="C1344" s="67">
        <v>0</v>
      </c>
      <c r="D1344" s="68"/>
      <c r="E1344" s="71"/>
      <c r="F1344" s="70"/>
    </row>
    <row r="1345" spans="1:6" ht="15" x14ac:dyDescent="0.25">
      <c r="A1345" s="72"/>
      <c r="B1345" s="73"/>
      <c r="C1345" s="408" t="s">
        <v>163</v>
      </c>
      <c r="D1345" s="408"/>
      <c r="E1345" s="409"/>
      <c r="F1345" s="74">
        <f>SUM(F1341:F1344)</f>
        <v>0</v>
      </c>
    </row>
    <row r="1346" spans="1:6" x14ac:dyDescent="0.2">
      <c r="A1346" s="75" t="s">
        <v>164</v>
      </c>
      <c r="B1346" s="76"/>
      <c r="C1346" s="76"/>
      <c r="D1346" s="77"/>
      <c r="E1346" s="78"/>
      <c r="F1346" s="79"/>
    </row>
    <row r="1347" spans="1:6" x14ac:dyDescent="0.2">
      <c r="A1347" s="61" t="s">
        <v>158</v>
      </c>
      <c r="B1347" s="62" t="s">
        <v>159</v>
      </c>
      <c r="C1347" s="406" t="s">
        <v>7</v>
      </c>
      <c r="D1347" s="407"/>
      <c r="E1347" s="63" t="s">
        <v>165</v>
      </c>
      <c r="F1347" s="64" t="s">
        <v>162</v>
      </c>
    </row>
    <row r="1348" spans="1:6" ht="32.25" customHeight="1" x14ac:dyDescent="0.2">
      <c r="A1348" s="80" t="s">
        <v>48</v>
      </c>
      <c r="B1348" s="66" t="s">
        <v>15</v>
      </c>
      <c r="C1348" s="81">
        <v>1</v>
      </c>
      <c r="D1348" s="82"/>
      <c r="E1348" s="83">
        <f>+Lista_prec_base!C31</f>
        <v>29043</v>
      </c>
      <c r="F1348" s="84">
        <f>+E1348*C1348</f>
        <v>29043</v>
      </c>
    </row>
    <row r="1349" spans="1:6" x14ac:dyDescent="0.2">
      <c r="A1349" s="85">
        <v>0</v>
      </c>
      <c r="B1349" s="66">
        <v>0</v>
      </c>
      <c r="C1349" s="86"/>
      <c r="D1349" s="82"/>
      <c r="E1349" s="83">
        <v>0</v>
      </c>
      <c r="F1349" s="84">
        <v>0</v>
      </c>
    </row>
    <row r="1350" spans="1:6" x14ac:dyDescent="0.2">
      <c r="A1350" s="65">
        <v>0</v>
      </c>
      <c r="B1350" s="66">
        <v>0</v>
      </c>
      <c r="C1350" s="87"/>
      <c r="D1350" s="82"/>
      <c r="E1350" s="83">
        <v>0</v>
      </c>
      <c r="F1350" s="84">
        <v>0</v>
      </c>
    </row>
    <row r="1351" spans="1:6" x14ac:dyDescent="0.2">
      <c r="A1351" s="65">
        <v>0</v>
      </c>
      <c r="B1351" s="66">
        <v>0</v>
      </c>
      <c r="C1351" s="87"/>
      <c r="D1351" s="82"/>
      <c r="E1351" s="83">
        <v>0</v>
      </c>
      <c r="F1351" s="84">
        <v>0</v>
      </c>
    </row>
    <row r="1352" spans="1:6" x14ac:dyDescent="0.2">
      <c r="A1352" s="65">
        <v>0</v>
      </c>
      <c r="B1352" s="66">
        <v>0</v>
      </c>
      <c r="C1352" s="87"/>
      <c r="D1352" s="82"/>
      <c r="E1352" s="83">
        <v>0</v>
      </c>
      <c r="F1352" s="84">
        <v>0</v>
      </c>
    </row>
    <row r="1353" spans="1:6" ht="15" x14ac:dyDescent="0.25">
      <c r="A1353" s="72"/>
      <c r="B1353" s="73"/>
      <c r="C1353" s="408" t="s">
        <v>167</v>
      </c>
      <c r="D1353" s="408"/>
      <c r="E1353" s="409"/>
      <c r="F1353" s="74">
        <f>+F1348</f>
        <v>29043</v>
      </c>
    </row>
    <row r="1354" spans="1:6" x14ac:dyDescent="0.2">
      <c r="A1354" s="72" t="s">
        <v>168</v>
      </c>
      <c r="B1354" s="73"/>
      <c r="C1354" s="73"/>
      <c r="D1354" s="88"/>
      <c r="E1354" s="89"/>
      <c r="F1354" s="90"/>
    </row>
    <row r="1355" spans="1:6" x14ac:dyDescent="0.2">
      <c r="A1355" s="61" t="s">
        <v>158</v>
      </c>
      <c r="B1355" s="62" t="s">
        <v>159</v>
      </c>
      <c r="C1355" s="62" t="s">
        <v>169</v>
      </c>
      <c r="D1355" s="91" t="s">
        <v>170</v>
      </c>
      <c r="E1355" s="63"/>
      <c r="F1355" s="64" t="s">
        <v>171</v>
      </c>
    </row>
    <row r="1356" spans="1:6" x14ac:dyDescent="0.2">
      <c r="A1356" s="65">
        <v>0</v>
      </c>
      <c r="B1356" s="92">
        <v>0</v>
      </c>
      <c r="C1356" s="93"/>
      <c r="D1356" s="94"/>
      <c r="E1356" s="95"/>
      <c r="F1356" s="70"/>
    </row>
    <row r="1357" spans="1:6" x14ac:dyDescent="0.2">
      <c r="A1357" s="65">
        <v>0</v>
      </c>
      <c r="B1357" s="92">
        <v>0</v>
      </c>
      <c r="C1357" s="93"/>
      <c r="D1357" s="94">
        <v>0</v>
      </c>
      <c r="E1357" s="96"/>
      <c r="F1357" s="97">
        <v>0</v>
      </c>
    </row>
    <row r="1358" spans="1:6" x14ac:dyDescent="0.2">
      <c r="A1358" s="65">
        <v>0</v>
      </c>
      <c r="B1358" s="92">
        <v>0</v>
      </c>
      <c r="C1358" s="93"/>
      <c r="D1358" s="94">
        <v>0</v>
      </c>
      <c r="E1358" s="96"/>
      <c r="F1358" s="97">
        <v>0</v>
      </c>
    </row>
    <row r="1359" spans="1:6" ht="15" x14ac:dyDescent="0.25">
      <c r="A1359" s="72"/>
      <c r="B1359" s="73"/>
      <c r="C1359" s="408" t="s">
        <v>172</v>
      </c>
      <c r="D1359" s="408"/>
      <c r="E1359" s="409"/>
      <c r="F1359" s="74"/>
    </row>
    <row r="1360" spans="1:6" x14ac:dyDescent="0.2">
      <c r="A1360" s="75" t="s">
        <v>173</v>
      </c>
      <c r="B1360" s="76"/>
      <c r="C1360" s="76"/>
      <c r="D1360" s="77"/>
      <c r="E1360" s="78"/>
      <c r="F1360" s="79"/>
    </row>
    <row r="1361" spans="1:7" x14ac:dyDescent="0.2">
      <c r="A1361" s="61" t="s">
        <v>158</v>
      </c>
      <c r="B1361" s="62" t="s">
        <v>159</v>
      </c>
      <c r="C1361" s="62" t="s">
        <v>174</v>
      </c>
      <c r="D1361" s="98" t="s">
        <v>175</v>
      </c>
      <c r="E1361" s="63" t="s">
        <v>165</v>
      </c>
      <c r="F1361" s="64" t="s">
        <v>162</v>
      </c>
    </row>
    <row r="1362" spans="1:7" x14ac:dyDescent="0.2">
      <c r="A1362" s="65">
        <v>0</v>
      </c>
      <c r="B1362" s="66">
        <v>0</v>
      </c>
      <c r="C1362" s="99"/>
      <c r="D1362" s="81"/>
      <c r="E1362" s="83">
        <v>0</v>
      </c>
      <c r="F1362" s="84">
        <v>0</v>
      </c>
    </row>
    <row r="1363" spans="1:7" x14ac:dyDescent="0.2">
      <c r="A1363" s="65">
        <v>0</v>
      </c>
      <c r="B1363" s="66">
        <v>0</v>
      </c>
      <c r="C1363" s="99"/>
      <c r="D1363" s="81"/>
      <c r="E1363" s="83">
        <v>0</v>
      </c>
      <c r="F1363" s="84">
        <v>0</v>
      </c>
    </row>
    <row r="1364" spans="1:7" ht="15" x14ac:dyDescent="0.25">
      <c r="A1364" s="72"/>
      <c r="B1364" s="73"/>
      <c r="C1364" s="408" t="s">
        <v>176</v>
      </c>
      <c r="D1364" s="408"/>
      <c r="E1364" s="409"/>
      <c r="F1364" s="74">
        <v>0</v>
      </c>
    </row>
    <row r="1365" spans="1:7" ht="15" thickBot="1" x14ac:dyDescent="0.25">
      <c r="A1365" s="75"/>
      <c r="B1365" s="76"/>
      <c r="C1365" s="76"/>
      <c r="D1365" s="77"/>
      <c r="E1365" s="78"/>
      <c r="F1365" s="79"/>
    </row>
    <row r="1366" spans="1:7" ht="15.75" thickBot="1" x14ac:dyDescent="0.3">
      <c r="A1366" s="100" t="s">
        <v>177</v>
      </c>
      <c r="B1366" s="101"/>
      <c r="C1366" s="101"/>
      <c r="D1366" s="101"/>
      <c r="E1366" s="102"/>
      <c r="F1366" s="103">
        <f>+F1353</f>
        <v>29043</v>
      </c>
    </row>
    <row r="1367" spans="1:7" ht="15" x14ac:dyDescent="0.25">
      <c r="A1367" s="104" t="s">
        <v>178</v>
      </c>
      <c r="B1367" s="105"/>
      <c r="C1367" s="105"/>
      <c r="D1367" s="105"/>
      <c r="E1367" s="105"/>
      <c r="F1367" s="106" t="s">
        <v>179</v>
      </c>
    </row>
    <row r="1368" spans="1:7" x14ac:dyDescent="0.2">
      <c r="A1368" s="413" t="s">
        <v>158</v>
      </c>
      <c r="B1368" s="414"/>
      <c r="C1368" s="414"/>
      <c r="D1368" s="415"/>
      <c r="E1368" s="107" t="s">
        <v>144</v>
      </c>
      <c r="F1368" s="108"/>
    </row>
    <row r="1369" spans="1:7" x14ac:dyDescent="0.2">
      <c r="A1369" s="413" t="s">
        <v>180</v>
      </c>
      <c r="B1369" s="414"/>
      <c r="C1369" s="414"/>
      <c r="D1369" s="415"/>
      <c r="E1369" s="109">
        <v>0.18</v>
      </c>
      <c r="F1369" s="108">
        <f>+E1369*F1366</f>
        <v>5227.74</v>
      </c>
    </row>
    <row r="1370" spans="1:7" x14ac:dyDescent="0.2">
      <c r="A1370" s="413" t="s">
        <v>181</v>
      </c>
      <c r="B1370" s="414"/>
      <c r="C1370" s="414"/>
      <c r="D1370" s="415"/>
      <c r="E1370" s="109"/>
      <c r="F1370" s="108"/>
    </row>
    <row r="1371" spans="1:7" x14ac:dyDescent="0.2">
      <c r="A1371" s="413" t="s">
        <v>182</v>
      </c>
      <c r="B1371" s="414"/>
      <c r="C1371" s="414"/>
      <c r="D1371" s="415"/>
      <c r="E1371" s="109"/>
      <c r="F1371" s="108"/>
    </row>
    <row r="1372" spans="1:7" x14ac:dyDescent="0.2">
      <c r="A1372" s="110" t="s">
        <v>183</v>
      </c>
      <c r="B1372" s="111"/>
      <c r="C1372" s="111"/>
      <c r="D1372" s="111"/>
      <c r="E1372" s="109">
        <v>0.16</v>
      </c>
      <c r="F1372" s="108">
        <f>+E1372*F1366</f>
        <v>4646.88</v>
      </c>
    </row>
    <row r="1373" spans="1:7" ht="15" x14ac:dyDescent="0.2">
      <c r="A1373" s="112"/>
      <c r="B1373" s="113"/>
      <c r="C1373" s="113"/>
      <c r="D1373" s="113"/>
      <c r="E1373" s="114" t="s">
        <v>184</v>
      </c>
      <c r="F1373" s="115">
        <f>+F1369+F1372</f>
        <v>9874.619999999999</v>
      </c>
    </row>
    <row r="1374" spans="1:7" ht="15.75" thickBot="1" x14ac:dyDescent="0.3">
      <c r="A1374" s="416" t="s">
        <v>185</v>
      </c>
      <c r="B1374" s="417"/>
      <c r="C1374" s="417"/>
      <c r="D1374" s="417"/>
      <c r="E1374" s="418"/>
      <c r="F1374" s="116">
        <f>ROUND(F1366+F1373,0)</f>
        <v>38918</v>
      </c>
    </row>
    <row r="1375" spans="1:7" x14ac:dyDescent="0.2">
      <c r="A1375" s="41" t="s">
        <v>153</v>
      </c>
      <c r="B1375" s="42" t="s">
        <v>51</v>
      </c>
      <c r="C1375" s="43"/>
      <c r="D1375" s="44"/>
      <c r="E1375" s="45"/>
      <c r="F1375" s="46"/>
    </row>
    <row r="1376" spans="1:7" ht="15" customHeight="1" x14ac:dyDescent="0.2">
      <c r="A1376" s="48" t="s">
        <v>154</v>
      </c>
      <c r="B1376" s="403" t="s">
        <v>53</v>
      </c>
      <c r="C1376" s="404"/>
      <c r="D1376" s="404"/>
      <c r="E1376" s="404"/>
      <c r="F1376" s="405"/>
      <c r="G1376" s="49">
        <v>1</v>
      </c>
    </row>
    <row r="1377" spans="1:6" ht="15" thickBot="1" x14ac:dyDescent="0.25">
      <c r="A1377" s="50" t="s">
        <v>156</v>
      </c>
      <c r="B1377" s="51" t="s">
        <v>15</v>
      </c>
      <c r="C1377" s="52"/>
      <c r="D1377" s="53"/>
      <c r="E1377" s="52"/>
      <c r="F1377" s="54"/>
    </row>
    <row r="1378" spans="1:6" x14ac:dyDescent="0.2">
      <c r="A1378" s="55" t="s">
        <v>157</v>
      </c>
      <c r="B1378" s="56"/>
      <c r="C1378" s="57"/>
      <c r="D1378" s="58"/>
      <c r="E1378" s="59"/>
      <c r="F1378" s="60"/>
    </row>
    <row r="1379" spans="1:6" x14ac:dyDescent="0.2">
      <c r="A1379" s="61" t="s">
        <v>158</v>
      </c>
      <c r="B1379" s="62" t="s">
        <v>159</v>
      </c>
      <c r="C1379" s="406" t="s">
        <v>160</v>
      </c>
      <c r="D1379" s="407"/>
      <c r="E1379" s="63" t="s">
        <v>161</v>
      </c>
      <c r="F1379" s="64" t="s">
        <v>162</v>
      </c>
    </row>
    <row r="1380" spans="1:6" x14ac:dyDescent="0.2">
      <c r="A1380" s="65">
        <v>0</v>
      </c>
      <c r="B1380" s="66">
        <v>0</v>
      </c>
      <c r="C1380" s="67">
        <v>0</v>
      </c>
      <c r="D1380" s="68"/>
      <c r="E1380" s="69"/>
      <c r="F1380" s="70"/>
    </row>
    <row r="1381" spans="1:6" x14ac:dyDescent="0.2">
      <c r="A1381" s="65">
        <v>0</v>
      </c>
      <c r="B1381" s="66">
        <v>0</v>
      </c>
      <c r="C1381" s="67">
        <v>0</v>
      </c>
      <c r="D1381" s="68"/>
      <c r="E1381" s="69"/>
      <c r="F1381" s="70"/>
    </row>
    <row r="1382" spans="1:6" x14ac:dyDescent="0.2">
      <c r="A1382" s="65">
        <v>0</v>
      </c>
      <c r="B1382" s="66">
        <v>0</v>
      </c>
      <c r="C1382" s="67">
        <v>0</v>
      </c>
      <c r="D1382" s="68"/>
      <c r="E1382" s="71"/>
      <c r="F1382" s="70"/>
    </row>
    <row r="1383" spans="1:6" x14ac:dyDescent="0.2">
      <c r="A1383" s="65">
        <v>0</v>
      </c>
      <c r="B1383" s="66">
        <v>0</v>
      </c>
      <c r="C1383" s="67">
        <v>0</v>
      </c>
      <c r="D1383" s="68"/>
      <c r="E1383" s="71"/>
      <c r="F1383" s="70"/>
    </row>
    <row r="1384" spans="1:6" ht="15" x14ac:dyDescent="0.25">
      <c r="A1384" s="72"/>
      <c r="B1384" s="73"/>
      <c r="C1384" s="408" t="s">
        <v>163</v>
      </c>
      <c r="D1384" s="408"/>
      <c r="E1384" s="409"/>
      <c r="F1384" s="74">
        <f>SUM(F1380:F1383)</f>
        <v>0</v>
      </c>
    </row>
    <row r="1385" spans="1:6" x14ac:dyDescent="0.2">
      <c r="A1385" s="75" t="s">
        <v>164</v>
      </c>
      <c r="B1385" s="76"/>
      <c r="C1385" s="76"/>
      <c r="D1385" s="77"/>
      <c r="E1385" s="78"/>
      <c r="F1385" s="79"/>
    </row>
    <row r="1386" spans="1:6" x14ac:dyDescent="0.2">
      <c r="A1386" s="61" t="s">
        <v>158</v>
      </c>
      <c r="B1386" s="62" t="s">
        <v>159</v>
      </c>
      <c r="C1386" s="406" t="s">
        <v>7</v>
      </c>
      <c r="D1386" s="407"/>
      <c r="E1386" s="63" t="s">
        <v>165</v>
      </c>
      <c r="F1386" s="64" t="s">
        <v>162</v>
      </c>
    </row>
    <row r="1387" spans="1:6" ht="30.75" customHeight="1" x14ac:dyDescent="0.2">
      <c r="A1387" s="80" t="s">
        <v>53</v>
      </c>
      <c r="B1387" s="66" t="s">
        <v>15</v>
      </c>
      <c r="C1387" s="81">
        <v>1</v>
      </c>
      <c r="D1387" s="82"/>
      <c r="E1387" s="83">
        <f>+Lista_prec_base!C32</f>
        <v>80085</v>
      </c>
      <c r="F1387" s="84">
        <f>+E1387*C1387</f>
        <v>80085</v>
      </c>
    </row>
    <row r="1388" spans="1:6" x14ac:dyDescent="0.2">
      <c r="A1388" s="85">
        <v>0</v>
      </c>
      <c r="B1388" s="66">
        <v>0</v>
      </c>
      <c r="C1388" s="86"/>
      <c r="D1388" s="82"/>
      <c r="E1388" s="83">
        <v>0</v>
      </c>
      <c r="F1388" s="84">
        <v>0</v>
      </c>
    </row>
    <row r="1389" spans="1:6" x14ac:dyDescent="0.2">
      <c r="A1389" s="65">
        <v>0</v>
      </c>
      <c r="B1389" s="66">
        <v>0</v>
      </c>
      <c r="C1389" s="87"/>
      <c r="D1389" s="82"/>
      <c r="E1389" s="83">
        <v>0</v>
      </c>
      <c r="F1389" s="84">
        <v>0</v>
      </c>
    </row>
    <row r="1390" spans="1:6" x14ac:dyDescent="0.2">
      <c r="A1390" s="65">
        <v>0</v>
      </c>
      <c r="B1390" s="66">
        <v>0</v>
      </c>
      <c r="C1390" s="87"/>
      <c r="D1390" s="82"/>
      <c r="E1390" s="83">
        <v>0</v>
      </c>
      <c r="F1390" s="84">
        <v>0</v>
      </c>
    </row>
    <row r="1391" spans="1:6" x14ac:dyDescent="0.2">
      <c r="A1391" s="65">
        <v>0</v>
      </c>
      <c r="B1391" s="66">
        <v>0</v>
      </c>
      <c r="C1391" s="87"/>
      <c r="D1391" s="82"/>
      <c r="E1391" s="83">
        <v>0</v>
      </c>
      <c r="F1391" s="84">
        <v>0</v>
      </c>
    </row>
    <row r="1392" spans="1:6" ht="15" x14ac:dyDescent="0.25">
      <c r="A1392" s="72"/>
      <c r="B1392" s="73"/>
      <c r="C1392" s="408" t="s">
        <v>167</v>
      </c>
      <c r="D1392" s="408"/>
      <c r="E1392" s="409"/>
      <c r="F1392" s="74">
        <f>+F1387</f>
        <v>80085</v>
      </c>
    </row>
    <row r="1393" spans="1:6" x14ac:dyDescent="0.2">
      <c r="A1393" s="72" t="s">
        <v>168</v>
      </c>
      <c r="B1393" s="73"/>
      <c r="C1393" s="73"/>
      <c r="D1393" s="88"/>
      <c r="E1393" s="89"/>
      <c r="F1393" s="90"/>
    </row>
    <row r="1394" spans="1:6" x14ac:dyDescent="0.2">
      <c r="A1394" s="61" t="s">
        <v>158</v>
      </c>
      <c r="B1394" s="62" t="s">
        <v>159</v>
      </c>
      <c r="C1394" s="62" t="s">
        <v>169</v>
      </c>
      <c r="D1394" s="91" t="s">
        <v>170</v>
      </c>
      <c r="E1394" s="63"/>
      <c r="F1394" s="64" t="s">
        <v>171</v>
      </c>
    </row>
    <row r="1395" spans="1:6" x14ac:dyDescent="0.2">
      <c r="A1395" s="65">
        <v>0</v>
      </c>
      <c r="B1395" s="92">
        <v>0</v>
      </c>
      <c r="C1395" s="93"/>
      <c r="D1395" s="94"/>
      <c r="E1395" s="95"/>
      <c r="F1395" s="70"/>
    </row>
    <row r="1396" spans="1:6" x14ac:dyDescent="0.2">
      <c r="A1396" s="65">
        <v>0</v>
      </c>
      <c r="B1396" s="92">
        <v>0</v>
      </c>
      <c r="C1396" s="93"/>
      <c r="D1396" s="94">
        <v>0</v>
      </c>
      <c r="E1396" s="96"/>
      <c r="F1396" s="97">
        <v>0</v>
      </c>
    </row>
    <row r="1397" spans="1:6" x14ac:dyDescent="0.2">
      <c r="A1397" s="65">
        <v>0</v>
      </c>
      <c r="B1397" s="92">
        <v>0</v>
      </c>
      <c r="C1397" s="93"/>
      <c r="D1397" s="94">
        <v>0</v>
      </c>
      <c r="E1397" s="96"/>
      <c r="F1397" s="97">
        <v>0</v>
      </c>
    </row>
    <row r="1398" spans="1:6" ht="15" x14ac:dyDescent="0.25">
      <c r="A1398" s="72"/>
      <c r="B1398" s="73"/>
      <c r="C1398" s="408" t="s">
        <v>172</v>
      </c>
      <c r="D1398" s="408"/>
      <c r="E1398" s="409"/>
      <c r="F1398" s="74"/>
    </row>
    <row r="1399" spans="1:6" x14ac:dyDescent="0.2">
      <c r="A1399" s="75" t="s">
        <v>173</v>
      </c>
      <c r="B1399" s="76"/>
      <c r="C1399" s="76"/>
      <c r="D1399" s="77"/>
      <c r="E1399" s="78"/>
      <c r="F1399" s="79"/>
    </row>
    <row r="1400" spans="1:6" x14ac:dyDescent="0.2">
      <c r="A1400" s="61" t="s">
        <v>158</v>
      </c>
      <c r="B1400" s="62" t="s">
        <v>159</v>
      </c>
      <c r="C1400" s="62" t="s">
        <v>174</v>
      </c>
      <c r="D1400" s="98" t="s">
        <v>175</v>
      </c>
      <c r="E1400" s="63" t="s">
        <v>165</v>
      </c>
      <c r="F1400" s="64" t="s">
        <v>162</v>
      </c>
    </row>
    <row r="1401" spans="1:6" x14ac:dyDescent="0.2">
      <c r="A1401" s="65">
        <v>0</v>
      </c>
      <c r="B1401" s="66">
        <v>0</v>
      </c>
      <c r="C1401" s="99"/>
      <c r="D1401" s="81"/>
      <c r="E1401" s="83">
        <v>0</v>
      </c>
      <c r="F1401" s="84">
        <v>0</v>
      </c>
    </row>
    <row r="1402" spans="1:6" x14ac:dyDescent="0.2">
      <c r="A1402" s="65">
        <v>0</v>
      </c>
      <c r="B1402" s="66">
        <v>0</v>
      </c>
      <c r="C1402" s="99"/>
      <c r="D1402" s="81"/>
      <c r="E1402" s="83">
        <v>0</v>
      </c>
      <c r="F1402" s="84">
        <v>0</v>
      </c>
    </row>
    <row r="1403" spans="1:6" ht="15" x14ac:dyDescent="0.25">
      <c r="A1403" s="72"/>
      <c r="B1403" s="73"/>
      <c r="C1403" s="408" t="s">
        <v>176</v>
      </c>
      <c r="D1403" s="408"/>
      <c r="E1403" s="409"/>
      <c r="F1403" s="74">
        <v>0</v>
      </c>
    </row>
    <row r="1404" spans="1:6" ht="15" thickBot="1" x14ac:dyDescent="0.25">
      <c r="A1404" s="75"/>
      <c r="B1404" s="76"/>
      <c r="C1404" s="76"/>
      <c r="D1404" s="77"/>
      <c r="E1404" s="78"/>
      <c r="F1404" s="79"/>
    </row>
    <row r="1405" spans="1:6" ht="15.75" thickBot="1" x14ac:dyDescent="0.3">
      <c r="A1405" s="100" t="s">
        <v>177</v>
      </c>
      <c r="B1405" s="101"/>
      <c r="C1405" s="101"/>
      <c r="D1405" s="101"/>
      <c r="E1405" s="102"/>
      <c r="F1405" s="103">
        <f>+F1392</f>
        <v>80085</v>
      </c>
    </row>
    <row r="1406" spans="1:6" ht="15" x14ac:dyDescent="0.25">
      <c r="A1406" s="104" t="s">
        <v>178</v>
      </c>
      <c r="B1406" s="105"/>
      <c r="C1406" s="105"/>
      <c r="D1406" s="105"/>
      <c r="E1406" s="105"/>
      <c r="F1406" s="106" t="s">
        <v>179</v>
      </c>
    </row>
    <row r="1407" spans="1:6" x14ac:dyDescent="0.2">
      <c r="A1407" s="413" t="s">
        <v>158</v>
      </c>
      <c r="B1407" s="414"/>
      <c r="C1407" s="414"/>
      <c r="D1407" s="415"/>
      <c r="E1407" s="107" t="s">
        <v>144</v>
      </c>
      <c r="F1407" s="108"/>
    </row>
    <row r="1408" spans="1:6" x14ac:dyDescent="0.2">
      <c r="A1408" s="413" t="s">
        <v>180</v>
      </c>
      <c r="B1408" s="414"/>
      <c r="C1408" s="414"/>
      <c r="D1408" s="415"/>
      <c r="E1408" s="109">
        <v>0.18</v>
      </c>
      <c r="F1408" s="108">
        <f>+E1408*F1405</f>
        <v>14415.3</v>
      </c>
    </row>
    <row r="1409" spans="1:7" x14ac:dyDescent="0.2">
      <c r="A1409" s="413" t="s">
        <v>181</v>
      </c>
      <c r="B1409" s="414"/>
      <c r="C1409" s="414"/>
      <c r="D1409" s="415"/>
      <c r="E1409" s="109"/>
      <c r="F1409" s="108"/>
    </row>
    <row r="1410" spans="1:7" x14ac:dyDescent="0.2">
      <c r="A1410" s="413" t="s">
        <v>182</v>
      </c>
      <c r="B1410" s="414"/>
      <c r="C1410" s="414"/>
      <c r="D1410" s="415"/>
      <c r="E1410" s="109"/>
      <c r="F1410" s="108"/>
    </row>
    <row r="1411" spans="1:7" x14ac:dyDescent="0.2">
      <c r="A1411" s="110" t="s">
        <v>183</v>
      </c>
      <c r="B1411" s="111"/>
      <c r="C1411" s="111"/>
      <c r="D1411" s="111"/>
      <c r="E1411" s="109">
        <v>0.16</v>
      </c>
      <c r="F1411" s="108">
        <f>+E1411*F1405</f>
        <v>12813.6</v>
      </c>
    </row>
    <row r="1412" spans="1:7" ht="15" x14ac:dyDescent="0.2">
      <c r="A1412" s="112"/>
      <c r="B1412" s="113"/>
      <c r="C1412" s="113"/>
      <c r="D1412" s="113"/>
      <c r="E1412" s="114" t="s">
        <v>184</v>
      </c>
      <c r="F1412" s="115">
        <f>+F1408+F1411</f>
        <v>27228.9</v>
      </c>
    </row>
    <row r="1413" spans="1:7" ht="15.75" thickBot="1" x14ac:dyDescent="0.3">
      <c r="A1413" s="416" t="s">
        <v>185</v>
      </c>
      <c r="B1413" s="417"/>
      <c r="C1413" s="417"/>
      <c r="D1413" s="417"/>
      <c r="E1413" s="418"/>
      <c r="F1413" s="116">
        <f>ROUND(F1405+F1412,0)</f>
        <v>107314</v>
      </c>
    </row>
    <row r="1414" spans="1:7" x14ac:dyDescent="0.2">
      <c r="A1414" s="41" t="s">
        <v>153</v>
      </c>
      <c r="B1414" s="42" t="s">
        <v>29</v>
      </c>
      <c r="C1414" s="43"/>
      <c r="D1414" s="44"/>
      <c r="E1414" s="45"/>
      <c r="F1414" s="46"/>
    </row>
    <row r="1415" spans="1:7" ht="15" customHeight="1" x14ac:dyDescent="0.2">
      <c r="A1415" s="48" t="s">
        <v>154</v>
      </c>
      <c r="B1415" s="403" t="s">
        <v>54</v>
      </c>
      <c r="C1415" s="404"/>
      <c r="D1415" s="404"/>
      <c r="E1415" s="404"/>
      <c r="F1415" s="405"/>
      <c r="G1415" s="49"/>
    </row>
    <row r="1416" spans="1:7" ht="15" thickBot="1" x14ac:dyDescent="0.25">
      <c r="A1416" s="50" t="s">
        <v>156</v>
      </c>
      <c r="B1416" s="51" t="s">
        <v>15</v>
      </c>
      <c r="C1416" s="52"/>
      <c r="D1416" s="53"/>
      <c r="E1416" s="52"/>
      <c r="F1416" s="54"/>
    </row>
    <row r="1417" spans="1:7" x14ac:dyDescent="0.2">
      <c r="A1417" s="55" t="s">
        <v>157</v>
      </c>
      <c r="B1417" s="56"/>
      <c r="C1417" s="57"/>
      <c r="D1417" s="58"/>
      <c r="E1417" s="59"/>
      <c r="F1417" s="60"/>
    </row>
    <row r="1418" spans="1:7" x14ac:dyDescent="0.2">
      <c r="A1418" s="61" t="s">
        <v>158</v>
      </c>
      <c r="B1418" s="62" t="s">
        <v>159</v>
      </c>
      <c r="C1418" s="406" t="s">
        <v>160</v>
      </c>
      <c r="D1418" s="407"/>
      <c r="E1418" s="63" t="s">
        <v>161</v>
      </c>
      <c r="F1418" s="64" t="s">
        <v>162</v>
      </c>
    </row>
    <row r="1419" spans="1:7" x14ac:dyDescent="0.2">
      <c r="A1419" s="65">
        <v>0</v>
      </c>
      <c r="B1419" s="66">
        <v>0</v>
      </c>
      <c r="C1419" s="67">
        <v>0</v>
      </c>
      <c r="D1419" s="68"/>
      <c r="E1419" s="69"/>
      <c r="F1419" s="70"/>
    </row>
    <row r="1420" spans="1:7" x14ac:dyDescent="0.2">
      <c r="A1420" s="65">
        <v>0</v>
      </c>
      <c r="B1420" s="66">
        <v>0</v>
      </c>
      <c r="C1420" s="67">
        <v>0</v>
      </c>
      <c r="D1420" s="68"/>
      <c r="E1420" s="69"/>
      <c r="F1420" s="70"/>
    </row>
    <row r="1421" spans="1:7" x14ac:dyDescent="0.2">
      <c r="A1421" s="65">
        <v>0</v>
      </c>
      <c r="B1421" s="66">
        <v>0</v>
      </c>
      <c r="C1421" s="67">
        <v>0</v>
      </c>
      <c r="D1421" s="68"/>
      <c r="E1421" s="71"/>
      <c r="F1421" s="70"/>
    </row>
    <row r="1422" spans="1:7" x14ac:dyDescent="0.2">
      <c r="A1422" s="65">
        <v>0</v>
      </c>
      <c r="B1422" s="66">
        <v>0</v>
      </c>
      <c r="C1422" s="67">
        <v>0</v>
      </c>
      <c r="D1422" s="68"/>
      <c r="E1422" s="71"/>
      <c r="F1422" s="70"/>
    </row>
    <row r="1423" spans="1:7" ht="15" x14ac:dyDescent="0.25">
      <c r="A1423" s="72"/>
      <c r="B1423" s="73"/>
      <c r="C1423" s="408" t="s">
        <v>163</v>
      </c>
      <c r="D1423" s="408"/>
      <c r="E1423" s="409"/>
      <c r="F1423" s="74">
        <f>SUM(F1419:F1422)</f>
        <v>0</v>
      </c>
    </row>
    <row r="1424" spans="1:7" x14ac:dyDescent="0.2">
      <c r="A1424" s="75" t="s">
        <v>164</v>
      </c>
      <c r="B1424" s="76"/>
      <c r="C1424" s="76"/>
      <c r="D1424" s="77"/>
      <c r="E1424" s="78"/>
      <c r="F1424" s="79"/>
    </row>
    <row r="1425" spans="1:6" x14ac:dyDescent="0.2">
      <c r="A1425" s="61" t="s">
        <v>158</v>
      </c>
      <c r="B1425" s="62" t="s">
        <v>159</v>
      </c>
      <c r="C1425" s="406" t="s">
        <v>7</v>
      </c>
      <c r="D1425" s="407"/>
      <c r="E1425" s="63" t="s">
        <v>165</v>
      </c>
      <c r="F1425" s="64" t="s">
        <v>162</v>
      </c>
    </row>
    <row r="1426" spans="1:6" ht="30.75" customHeight="1" x14ac:dyDescent="0.2">
      <c r="A1426" s="80" t="s">
        <v>54</v>
      </c>
      <c r="B1426" s="66" t="s">
        <v>15</v>
      </c>
      <c r="C1426" s="81">
        <v>1</v>
      </c>
      <c r="D1426" s="82"/>
      <c r="E1426" s="83">
        <f>+Lista_prec_base!C33</f>
        <v>151935</v>
      </c>
      <c r="F1426" s="84">
        <f>+E1426*C1426</f>
        <v>151935</v>
      </c>
    </row>
    <row r="1427" spans="1:6" x14ac:dyDescent="0.2">
      <c r="A1427" s="85">
        <v>0</v>
      </c>
      <c r="B1427" s="66">
        <v>0</v>
      </c>
      <c r="C1427" s="86"/>
      <c r="D1427" s="82"/>
      <c r="E1427" s="83">
        <v>0</v>
      </c>
      <c r="F1427" s="84">
        <v>0</v>
      </c>
    </row>
    <row r="1428" spans="1:6" x14ac:dyDescent="0.2">
      <c r="A1428" s="65">
        <v>0</v>
      </c>
      <c r="B1428" s="66">
        <v>0</v>
      </c>
      <c r="C1428" s="87"/>
      <c r="D1428" s="82"/>
      <c r="E1428" s="83">
        <v>0</v>
      </c>
      <c r="F1428" s="84">
        <v>0</v>
      </c>
    </row>
    <row r="1429" spans="1:6" x14ac:dyDescent="0.2">
      <c r="A1429" s="65">
        <v>0</v>
      </c>
      <c r="B1429" s="66">
        <v>0</v>
      </c>
      <c r="C1429" s="87"/>
      <c r="D1429" s="82"/>
      <c r="E1429" s="83">
        <v>0</v>
      </c>
      <c r="F1429" s="84">
        <v>0</v>
      </c>
    </row>
    <row r="1430" spans="1:6" x14ac:dyDescent="0.2">
      <c r="A1430" s="65">
        <v>0</v>
      </c>
      <c r="B1430" s="66">
        <v>0</v>
      </c>
      <c r="C1430" s="87"/>
      <c r="D1430" s="82"/>
      <c r="E1430" s="83">
        <v>0</v>
      </c>
      <c r="F1430" s="84">
        <v>0</v>
      </c>
    </row>
    <row r="1431" spans="1:6" ht="15" x14ac:dyDescent="0.25">
      <c r="A1431" s="72"/>
      <c r="B1431" s="73"/>
      <c r="C1431" s="408" t="s">
        <v>167</v>
      </c>
      <c r="D1431" s="408"/>
      <c r="E1431" s="409"/>
      <c r="F1431" s="74">
        <f>+F1426</f>
        <v>151935</v>
      </c>
    </row>
    <row r="1432" spans="1:6" x14ac:dyDescent="0.2">
      <c r="A1432" s="72" t="s">
        <v>168</v>
      </c>
      <c r="B1432" s="73"/>
      <c r="C1432" s="73"/>
      <c r="D1432" s="88"/>
      <c r="E1432" s="89"/>
      <c r="F1432" s="90"/>
    </row>
    <row r="1433" spans="1:6" x14ac:dyDescent="0.2">
      <c r="A1433" s="61" t="s">
        <v>158</v>
      </c>
      <c r="B1433" s="62" t="s">
        <v>159</v>
      </c>
      <c r="C1433" s="62" t="s">
        <v>169</v>
      </c>
      <c r="D1433" s="91" t="s">
        <v>170</v>
      </c>
      <c r="E1433" s="63"/>
      <c r="F1433" s="64" t="s">
        <v>171</v>
      </c>
    </row>
    <row r="1434" spans="1:6" x14ac:dyDescent="0.2">
      <c r="A1434" s="65">
        <v>0</v>
      </c>
      <c r="B1434" s="92">
        <v>0</v>
      </c>
      <c r="C1434" s="93"/>
      <c r="D1434" s="94"/>
      <c r="E1434" s="95"/>
      <c r="F1434" s="70"/>
    </row>
    <row r="1435" spans="1:6" x14ac:dyDescent="0.2">
      <c r="A1435" s="65">
        <v>0</v>
      </c>
      <c r="B1435" s="92">
        <v>0</v>
      </c>
      <c r="C1435" s="93"/>
      <c r="D1435" s="94">
        <v>0</v>
      </c>
      <c r="E1435" s="96"/>
      <c r="F1435" s="97">
        <v>0</v>
      </c>
    </row>
    <row r="1436" spans="1:6" x14ac:dyDescent="0.2">
      <c r="A1436" s="65">
        <v>0</v>
      </c>
      <c r="B1436" s="92">
        <v>0</v>
      </c>
      <c r="C1436" s="93"/>
      <c r="D1436" s="94">
        <v>0</v>
      </c>
      <c r="E1436" s="96"/>
      <c r="F1436" s="97">
        <v>0</v>
      </c>
    </row>
    <row r="1437" spans="1:6" ht="15" x14ac:dyDescent="0.25">
      <c r="A1437" s="72"/>
      <c r="B1437" s="73"/>
      <c r="C1437" s="408" t="s">
        <v>172</v>
      </c>
      <c r="D1437" s="408"/>
      <c r="E1437" s="409"/>
      <c r="F1437" s="74"/>
    </row>
    <row r="1438" spans="1:6" x14ac:dyDescent="0.2">
      <c r="A1438" s="75" t="s">
        <v>173</v>
      </c>
      <c r="B1438" s="76"/>
      <c r="C1438" s="76"/>
      <c r="D1438" s="77"/>
      <c r="E1438" s="78"/>
      <c r="F1438" s="79"/>
    </row>
    <row r="1439" spans="1:6" x14ac:dyDescent="0.2">
      <c r="A1439" s="61" t="s">
        <v>158</v>
      </c>
      <c r="B1439" s="62" t="s">
        <v>159</v>
      </c>
      <c r="C1439" s="62" t="s">
        <v>174</v>
      </c>
      <c r="D1439" s="98" t="s">
        <v>175</v>
      </c>
      <c r="E1439" s="63" t="s">
        <v>165</v>
      </c>
      <c r="F1439" s="64" t="s">
        <v>162</v>
      </c>
    </row>
    <row r="1440" spans="1:6" x14ac:dyDescent="0.2">
      <c r="A1440" s="65">
        <v>0</v>
      </c>
      <c r="B1440" s="66">
        <v>0</v>
      </c>
      <c r="C1440" s="99"/>
      <c r="D1440" s="81"/>
      <c r="E1440" s="83">
        <v>0</v>
      </c>
      <c r="F1440" s="84">
        <v>0</v>
      </c>
    </row>
    <row r="1441" spans="1:7" x14ac:dyDescent="0.2">
      <c r="A1441" s="65">
        <v>0</v>
      </c>
      <c r="B1441" s="66">
        <v>0</v>
      </c>
      <c r="C1441" s="99"/>
      <c r="D1441" s="81"/>
      <c r="E1441" s="83">
        <v>0</v>
      </c>
      <c r="F1441" s="84">
        <v>0</v>
      </c>
    </row>
    <row r="1442" spans="1:7" ht="15" x14ac:dyDescent="0.25">
      <c r="A1442" s="72"/>
      <c r="B1442" s="73"/>
      <c r="C1442" s="408" t="s">
        <v>176</v>
      </c>
      <c r="D1442" s="408"/>
      <c r="E1442" s="409"/>
      <c r="F1442" s="74">
        <v>0</v>
      </c>
    </row>
    <row r="1443" spans="1:7" ht="15" thickBot="1" x14ac:dyDescent="0.25">
      <c r="A1443" s="75"/>
      <c r="B1443" s="76"/>
      <c r="C1443" s="76"/>
      <c r="D1443" s="77"/>
      <c r="E1443" s="78"/>
      <c r="F1443" s="79"/>
    </row>
    <row r="1444" spans="1:7" ht="15.75" thickBot="1" x14ac:dyDescent="0.3">
      <c r="A1444" s="100" t="s">
        <v>177</v>
      </c>
      <c r="B1444" s="101"/>
      <c r="C1444" s="101"/>
      <c r="D1444" s="101"/>
      <c r="E1444" s="102"/>
      <c r="F1444" s="103">
        <f>+F1431</f>
        <v>151935</v>
      </c>
    </row>
    <row r="1445" spans="1:7" ht="15" x14ac:dyDescent="0.25">
      <c r="A1445" s="104" t="s">
        <v>178</v>
      </c>
      <c r="B1445" s="105"/>
      <c r="C1445" s="105"/>
      <c r="D1445" s="105"/>
      <c r="E1445" s="105"/>
      <c r="F1445" s="106" t="s">
        <v>179</v>
      </c>
    </row>
    <row r="1446" spans="1:7" x14ac:dyDescent="0.2">
      <c r="A1446" s="413" t="s">
        <v>158</v>
      </c>
      <c r="B1446" s="414"/>
      <c r="C1446" s="414"/>
      <c r="D1446" s="415"/>
      <c r="E1446" s="107" t="s">
        <v>144</v>
      </c>
      <c r="F1446" s="108"/>
    </row>
    <row r="1447" spans="1:7" x14ac:dyDescent="0.2">
      <c r="A1447" s="413" t="s">
        <v>180</v>
      </c>
      <c r="B1447" s="414"/>
      <c r="C1447" s="414"/>
      <c r="D1447" s="415"/>
      <c r="E1447" s="109">
        <v>0.18</v>
      </c>
      <c r="F1447" s="108">
        <f>+E1447*F1444</f>
        <v>27348.3</v>
      </c>
    </row>
    <row r="1448" spans="1:7" x14ac:dyDescent="0.2">
      <c r="A1448" s="413" t="s">
        <v>181</v>
      </c>
      <c r="B1448" s="414"/>
      <c r="C1448" s="414"/>
      <c r="D1448" s="415"/>
      <c r="E1448" s="109"/>
      <c r="F1448" s="108"/>
    </row>
    <row r="1449" spans="1:7" x14ac:dyDescent="0.2">
      <c r="A1449" s="413" t="s">
        <v>182</v>
      </c>
      <c r="B1449" s="414"/>
      <c r="C1449" s="414"/>
      <c r="D1449" s="415"/>
      <c r="E1449" s="109"/>
      <c r="F1449" s="108"/>
    </row>
    <row r="1450" spans="1:7" x14ac:dyDescent="0.2">
      <c r="A1450" s="110" t="s">
        <v>183</v>
      </c>
      <c r="B1450" s="111"/>
      <c r="C1450" s="111"/>
      <c r="D1450" s="111"/>
      <c r="E1450" s="109">
        <v>0.16</v>
      </c>
      <c r="F1450" s="108">
        <f>+E1450*F1444</f>
        <v>24309.600000000002</v>
      </c>
    </row>
    <row r="1451" spans="1:7" ht="15" x14ac:dyDescent="0.2">
      <c r="A1451" s="112"/>
      <c r="B1451" s="113"/>
      <c r="C1451" s="113"/>
      <c r="D1451" s="113"/>
      <c r="E1451" s="114" t="s">
        <v>184</v>
      </c>
      <c r="F1451" s="115">
        <f>+F1447+F1450</f>
        <v>51657.9</v>
      </c>
    </row>
    <row r="1452" spans="1:7" ht="15.75" thickBot="1" x14ac:dyDescent="0.3">
      <c r="A1452" s="416" t="s">
        <v>185</v>
      </c>
      <c r="B1452" s="417"/>
      <c r="C1452" s="417"/>
      <c r="D1452" s="417"/>
      <c r="E1452" s="418"/>
      <c r="F1452" s="116">
        <f>ROUND(F1444+F1451,0)</f>
        <v>203593</v>
      </c>
    </row>
    <row r="1453" spans="1:7" x14ac:dyDescent="0.2">
      <c r="A1453" s="41" t="s">
        <v>153</v>
      </c>
      <c r="B1453" s="117" t="s">
        <v>62</v>
      </c>
      <c r="C1453" s="43"/>
      <c r="D1453" s="44"/>
      <c r="E1453" s="45"/>
      <c r="F1453" s="46"/>
    </row>
    <row r="1454" spans="1:7" x14ac:dyDescent="0.2">
      <c r="A1454" s="48" t="s">
        <v>154</v>
      </c>
      <c r="B1454" s="403" t="s">
        <v>68</v>
      </c>
      <c r="C1454" s="404"/>
      <c r="D1454" s="404"/>
      <c r="E1454" s="404"/>
      <c r="F1454" s="405"/>
      <c r="G1454" s="47">
        <v>5</v>
      </c>
    </row>
    <row r="1455" spans="1:7" ht="15" thickBot="1" x14ac:dyDescent="0.25">
      <c r="A1455" s="50" t="s">
        <v>156</v>
      </c>
      <c r="B1455" s="51" t="s">
        <v>15</v>
      </c>
      <c r="C1455" s="52"/>
      <c r="D1455" s="53"/>
      <c r="E1455" s="52"/>
      <c r="F1455" s="54"/>
    </row>
    <row r="1456" spans="1:7" x14ac:dyDescent="0.2">
      <c r="A1456" s="55" t="s">
        <v>157</v>
      </c>
      <c r="B1456" s="56"/>
      <c r="C1456" s="57"/>
      <c r="D1456" s="58"/>
      <c r="E1456" s="59"/>
      <c r="F1456" s="60"/>
    </row>
    <row r="1457" spans="1:6" x14ac:dyDescent="0.2">
      <c r="A1457" s="61" t="s">
        <v>158</v>
      </c>
      <c r="B1457" s="62" t="s">
        <v>159</v>
      </c>
      <c r="C1457" s="406" t="s">
        <v>160</v>
      </c>
      <c r="D1457" s="407"/>
      <c r="E1457" s="63" t="s">
        <v>161</v>
      </c>
      <c r="F1457" s="64" t="s">
        <v>162</v>
      </c>
    </row>
    <row r="1458" spans="1:6" x14ac:dyDescent="0.2">
      <c r="A1458" s="65" t="s">
        <v>193</v>
      </c>
      <c r="B1458" s="66" t="s">
        <v>189</v>
      </c>
      <c r="C1458" s="67">
        <f>+Lista_prec_base!C35</f>
        <v>8496</v>
      </c>
      <c r="D1458" s="68"/>
      <c r="E1458" s="69">
        <v>0.5</v>
      </c>
      <c r="F1458" s="70">
        <f>+C1458/E1458</f>
        <v>16992</v>
      </c>
    </row>
    <row r="1459" spans="1:6" x14ac:dyDescent="0.2">
      <c r="A1459" s="65"/>
      <c r="B1459" s="66"/>
      <c r="C1459" s="67"/>
      <c r="D1459" s="68"/>
      <c r="E1459" s="69"/>
      <c r="F1459" s="70"/>
    </row>
    <row r="1460" spans="1:6" x14ac:dyDescent="0.2">
      <c r="A1460" s="65">
        <v>0</v>
      </c>
      <c r="B1460" s="66">
        <v>0</v>
      </c>
      <c r="C1460" s="67">
        <v>0</v>
      </c>
      <c r="D1460" s="68"/>
      <c r="E1460" s="71"/>
      <c r="F1460" s="70">
        <v>0</v>
      </c>
    </row>
    <row r="1461" spans="1:6" x14ac:dyDescent="0.2">
      <c r="A1461" s="65">
        <v>0</v>
      </c>
      <c r="B1461" s="66">
        <v>0</v>
      </c>
      <c r="C1461" s="67">
        <v>0</v>
      </c>
      <c r="D1461" s="68"/>
      <c r="E1461" s="71"/>
      <c r="F1461" s="70">
        <v>0</v>
      </c>
    </row>
    <row r="1462" spans="1:6" ht="15" x14ac:dyDescent="0.25">
      <c r="A1462" s="72"/>
      <c r="B1462" s="73"/>
      <c r="C1462" s="408" t="s">
        <v>163</v>
      </c>
      <c r="D1462" s="408"/>
      <c r="E1462" s="409"/>
      <c r="F1462" s="74">
        <f>SUM(F1458:F1461)</f>
        <v>16992</v>
      </c>
    </row>
    <row r="1463" spans="1:6" x14ac:dyDescent="0.2">
      <c r="A1463" s="75" t="s">
        <v>164</v>
      </c>
      <c r="B1463" s="76"/>
      <c r="C1463" s="76"/>
      <c r="D1463" s="77"/>
      <c r="E1463" s="78"/>
      <c r="F1463" s="79"/>
    </row>
    <row r="1464" spans="1:6" x14ac:dyDescent="0.2">
      <c r="A1464" s="61" t="s">
        <v>158</v>
      </c>
      <c r="B1464" s="62" t="s">
        <v>159</v>
      </c>
      <c r="C1464" s="406" t="s">
        <v>7</v>
      </c>
      <c r="D1464" s="407"/>
      <c r="E1464" s="63" t="s">
        <v>165</v>
      </c>
      <c r="F1464" s="64" t="s">
        <v>162</v>
      </c>
    </row>
    <row r="1465" spans="1:6" x14ac:dyDescent="0.2">
      <c r="A1465" s="85"/>
      <c r="B1465" s="66"/>
      <c r="C1465" s="81"/>
      <c r="D1465" s="82"/>
      <c r="E1465" s="83"/>
      <c r="F1465" s="84"/>
    </row>
    <row r="1466" spans="1:6" x14ac:dyDescent="0.2">
      <c r="A1466" s="65"/>
      <c r="B1466" s="66"/>
      <c r="C1466" s="81"/>
      <c r="D1466" s="82"/>
      <c r="E1466" s="83"/>
      <c r="F1466" s="84"/>
    </row>
    <row r="1467" spans="1:6" x14ac:dyDescent="0.2">
      <c r="A1467" s="65"/>
      <c r="B1467" s="66"/>
      <c r="C1467" s="121"/>
      <c r="D1467" s="82"/>
      <c r="E1467" s="83"/>
      <c r="F1467" s="84"/>
    </row>
    <row r="1468" spans="1:6" x14ac:dyDescent="0.2">
      <c r="A1468" s="65"/>
      <c r="B1468" s="66"/>
      <c r="C1468" s="81"/>
      <c r="D1468" s="82"/>
      <c r="E1468" s="83"/>
      <c r="F1468" s="84"/>
    </row>
    <row r="1469" spans="1:6" x14ac:dyDescent="0.2">
      <c r="A1469" s="65"/>
      <c r="B1469" s="66"/>
      <c r="C1469" s="81"/>
      <c r="D1469" s="82"/>
      <c r="E1469" s="83"/>
      <c r="F1469" s="84"/>
    </row>
    <row r="1470" spans="1:6" x14ac:dyDescent="0.2">
      <c r="A1470" s="65"/>
      <c r="B1470" s="66"/>
      <c r="C1470" s="81"/>
      <c r="D1470" s="82"/>
      <c r="E1470" s="83"/>
      <c r="F1470" s="84"/>
    </row>
    <row r="1471" spans="1:6" ht="15" x14ac:dyDescent="0.25">
      <c r="A1471" s="72"/>
      <c r="B1471" s="73"/>
      <c r="C1471" s="408" t="s">
        <v>167</v>
      </c>
      <c r="D1471" s="408"/>
      <c r="E1471" s="409"/>
      <c r="F1471" s="74">
        <f>SUM(F1465:F1470)</f>
        <v>0</v>
      </c>
    </row>
    <row r="1472" spans="1:6" x14ac:dyDescent="0.2">
      <c r="A1472" s="72" t="s">
        <v>168</v>
      </c>
      <c r="B1472" s="73"/>
      <c r="C1472" s="73"/>
      <c r="D1472" s="88"/>
      <c r="E1472" s="89"/>
      <c r="F1472" s="90"/>
    </row>
    <row r="1473" spans="1:9" x14ac:dyDescent="0.2">
      <c r="A1473" s="61" t="s">
        <v>158</v>
      </c>
      <c r="B1473" s="62" t="s">
        <v>159</v>
      </c>
      <c r="C1473" s="62" t="s">
        <v>169</v>
      </c>
      <c r="D1473" s="91" t="s">
        <v>170</v>
      </c>
      <c r="E1473" s="63"/>
      <c r="F1473" s="64" t="s">
        <v>171</v>
      </c>
    </row>
    <row r="1474" spans="1:9" x14ac:dyDescent="0.2">
      <c r="A1474" s="65" t="s">
        <v>190</v>
      </c>
      <c r="B1474" s="92" t="s">
        <v>191</v>
      </c>
      <c r="C1474" s="93">
        <v>1.65</v>
      </c>
      <c r="D1474" s="94">
        <f>+Lista_prec_base!C43</f>
        <v>67000</v>
      </c>
      <c r="E1474" s="95">
        <v>7.0583809952237857</v>
      </c>
      <c r="F1474" s="70">
        <f>+C1474*D1474/E1474</f>
        <v>15662.231902019199</v>
      </c>
    </row>
    <row r="1475" spans="1:9" x14ac:dyDescent="0.2">
      <c r="A1475" s="65">
        <v>0</v>
      </c>
      <c r="B1475" s="92">
        <v>0</v>
      </c>
      <c r="C1475" s="93"/>
      <c r="D1475" s="94">
        <v>0</v>
      </c>
      <c r="E1475" s="96"/>
      <c r="F1475" s="97">
        <v>0</v>
      </c>
    </row>
    <row r="1476" spans="1:9" x14ac:dyDescent="0.2">
      <c r="A1476" s="65">
        <v>0</v>
      </c>
      <c r="B1476" s="92">
        <v>0</v>
      </c>
      <c r="C1476" s="93"/>
      <c r="D1476" s="94">
        <v>0</v>
      </c>
      <c r="E1476" s="96"/>
      <c r="F1476" s="97">
        <v>0</v>
      </c>
    </row>
    <row r="1477" spans="1:9" ht="15" x14ac:dyDescent="0.25">
      <c r="A1477" s="72"/>
      <c r="B1477" s="73"/>
      <c r="C1477" s="408" t="s">
        <v>172</v>
      </c>
      <c r="D1477" s="408"/>
      <c r="E1477" s="409"/>
      <c r="F1477" s="74">
        <f>+F1474</f>
        <v>15662.231902019199</v>
      </c>
      <c r="I1477" s="199">
        <f>+F1477/F1484</f>
        <v>0.47963865599456074</v>
      </c>
    </row>
    <row r="1478" spans="1:9" x14ac:dyDescent="0.2">
      <c r="A1478" s="75" t="s">
        <v>173</v>
      </c>
      <c r="B1478" s="76"/>
      <c r="C1478" s="76"/>
      <c r="D1478" s="77"/>
      <c r="E1478" s="78"/>
      <c r="F1478" s="79"/>
    </row>
    <row r="1479" spans="1:9" x14ac:dyDescent="0.2">
      <c r="A1479" s="61" t="s">
        <v>158</v>
      </c>
      <c r="B1479" s="62" t="s">
        <v>159</v>
      </c>
      <c r="C1479" s="62" t="s">
        <v>174</v>
      </c>
      <c r="D1479" s="98" t="s">
        <v>175</v>
      </c>
      <c r="E1479" s="63" t="s">
        <v>165</v>
      </c>
      <c r="F1479" s="64" t="s">
        <v>162</v>
      </c>
    </row>
    <row r="1480" spans="1:9" x14ac:dyDescent="0.2">
      <c r="A1480" s="65">
        <v>0</v>
      </c>
      <c r="B1480" s="66">
        <v>0</v>
      </c>
      <c r="C1480" s="99"/>
      <c r="D1480" s="81"/>
      <c r="E1480" s="83">
        <v>0</v>
      </c>
      <c r="F1480" s="84">
        <v>0</v>
      </c>
    </row>
    <row r="1481" spans="1:9" x14ac:dyDescent="0.2">
      <c r="A1481" s="65">
        <v>0</v>
      </c>
      <c r="B1481" s="66">
        <v>0</v>
      </c>
      <c r="C1481" s="99"/>
      <c r="D1481" s="81"/>
      <c r="E1481" s="83">
        <v>0</v>
      </c>
      <c r="F1481" s="84">
        <v>0</v>
      </c>
    </row>
    <row r="1482" spans="1:9" ht="15" x14ac:dyDescent="0.25">
      <c r="A1482" s="72"/>
      <c r="B1482" s="73"/>
      <c r="C1482" s="408" t="s">
        <v>176</v>
      </c>
      <c r="D1482" s="408"/>
      <c r="E1482" s="409"/>
      <c r="F1482" s="74">
        <v>0</v>
      </c>
    </row>
    <row r="1483" spans="1:9" ht="15" thickBot="1" x14ac:dyDescent="0.25">
      <c r="A1483" s="75"/>
      <c r="B1483" s="76"/>
      <c r="C1483" s="76"/>
      <c r="D1483" s="77"/>
      <c r="E1483" s="78"/>
      <c r="F1483" s="79"/>
    </row>
    <row r="1484" spans="1:9" ht="15.75" thickBot="1" x14ac:dyDescent="0.3">
      <c r="A1484" s="100" t="s">
        <v>177</v>
      </c>
      <c r="B1484" s="101"/>
      <c r="C1484" s="101"/>
      <c r="D1484" s="101"/>
      <c r="E1484" s="102"/>
      <c r="F1484" s="103">
        <f>+F1462+F1471+F1477</f>
        <v>32654.231902019201</v>
      </c>
    </row>
    <row r="1485" spans="1:9" ht="15" x14ac:dyDescent="0.25">
      <c r="A1485" s="104" t="s">
        <v>178</v>
      </c>
      <c r="B1485" s="105"/>
      <c r="C1485" s="105"/>
      <c r="D1485" s="105"/>
      <c r="E1485" s="105"/>
      <c r="F1485" s="106" t="s">
        <v>179</v>
      </c>
    </row>
    <row r="1486" spans="1:9" x14ac:dyDescent="0.2">
      <c r="A1486" s="399" t="s">
        <v>158</v>
      </c>
      <c r="B1486" s="400"/>
      <c r="C1486" s="400"/>
      <c r="D1486" s="400"/>
      <c r="E1486" s="107" t="s">
        <v>144</v>
      </c>
      <c r="F1486" s="108"/>
    </row>
    <row r="1487" spans="1:9" x14ac:dyDescent="0.2">
      <c r="A1487" s="399" t="s">
        <v>180</v>
      </c>
      <c r="B1487" s="400"/>
      <c r="C1487" s="400"/>
      <c r="D1487" s="400"/>
      <c r="E1487" s="109">
        <v>0.23</v>
      </c>
      <c r="F1487" s="108">
        <f>+E1487*F1484</f>
        <v>7510.4733374644165</v>
      </c>
    </row>
    <row r="1488" spans="1:9" x14ac:dyDescent="0.2">
      <c r="A1488" s="399" t="s">
        <v>181</v>
      </c>
      <c r="B1488" s="400"/>
      <c r="C1488" s="400"/>
      <c r="D1488" s="400"/>
      <c r="E1488" s="109">
        <v>0.02</v>
      </c>
      <c r="F1488" s="108">
        <f>+E1488*F1484</f>
        <v>653.08463804038399</v>
      </c>
    </row>
    <row r="1489" spans="1:6" x14ac:dyDescent="0.2">
      <c r="A1489" s="399" t="s">
        <v>182</v>
      </c>
      <c r="B1489" s="400"/>
      <c r="C1489" s="400"/>
      <c r="D1489" s="400"/>
      <c r="E1489" s="109">
        <v>0.05</v>
      </c>
      <c r="F1489" s="108">
        <f>+E1489*F1484</f>
        <v>1632.71159510096</v>
      </c>
    </row>
    <row r="1490" spans="1:6" x14ac:dyDescent="0.2">
      <c r="A1490" s="110" t="s">
        <v>183</v>
      </c>
      <c r="B1490" s="111"/>
      <c r="C1490" s="111"/>
      <c r="D1490" s="111"/>
      <c r="E1490" s="109"/>
      <c r="F1490" s="108">
        <v>0</v>
      </c>
    </row>
    <row r="1491" spans="1:6" ht="15" x14ac:dyDescent="0.2">
      <c r="A1491" s="112"/>
      <c r="B1491" s="113"/>
      <c r="C1491" s="113"/>
      <c r="D1491" s="113"/>
      <c r="E1491" s="114" t="s">
        <v>184</v>
      </c>
      <c r="F1491" s="115">
        <f>+F1487+F1488+F1489</f>
        <v>9796.2695706057602</v>
      </c>
    </row>
    <row r="1492" spans="1:6" ht="15.75" thickBot="1" x14ac:dyDescent="0.3">
      <c r="A1492" s="401" t="s">
        <v>185</v>
      </c>
      <c r="B1492" s="402"/>
      <c r="C1492" s="402"/>
      <c r="D1492" s="402"/>
      <c r="E1492" s="402"/>
      <c r="F1492" s="116">
        <f>+F1484+F1491</f>
        <v>42450.501472624965</v>
      </c>
    </row>
    <row r="1493" spans="1:6" x14ac:dyDescent="0.2">
      <c r="A1493" s="41" t="s">
        <v>153</v>
      </c>
      <c r="B1493" s="117" t="s">
        <v>13</v>
      </c>
      <c r="C1493" s="43"/>
      <c r="D1493" s="44"/>
      <c r="E1493" s="45"/>
      <c r="F1493" s="46"/>
    </row>
    <row r="1494" spans="1:6" x14ac:dyDescent="0.2">
      <c r="A1494" s="48" t="s">
        <v>154</v>
      </c>
      <c r="B1494" s="403" t="s">
        <v>69</v>
      </c>
      <c r="C1494" s="404"/>
      <c r="D1494" s="404"/>
      <c r="E1494" s="404"/>
      <c r="F1494" s="405"/>
    </row>
    <row r="1495" spans="1:6" ht="15" thickBot="1" x14ac:dyDescent="0.25">
      <c r="A1495" s="50" t="s">
        <v>156</v>
      </c>
      <c r="B1495" s="51" t="s">
        <v>15</v>
      </c>
      <c r="C1495" s="52"/>
      <c r="D1495" s="53"/>
      <c r="E1495" s="52"/>
      <c r="F1495" s="54"/>
    </row>
    <row r="1496" spans="1:6" x14ac:dyDescent="0.2">
      <c r="A1496" s="55" t="s">
        <v>157</v>
      </c>
      <c r="B1496" s="56"/>
      <c r="C1496" s="57"/>
      <c r="D1496" s="58"/>
      <c r="E1496" s="59"/>
      <c r="F1496" s="60"/>
    </row>
    <row r="1497" spans="1:6" x14ac:dyDescent="0.2">
      <c r="A1497" s="61" t="s">
        <v>158</v>
      </c>
      <c r="B1497" s="62" t="s">
        <v>159</v>
      </c>
      <c r="C1497" s="406" t="s">
        <v>160</v>
      </c>
      <c r="D1497" s="407"/>
      <c r="E1497" s="63" t="s">
        <v>161</v>
      </c>
      <c r="F1497" s="64" t="s">
        <v>162</v>
      </c>
    </row>
    <row r="1498" spans="1:6" x14ac:dyDescent="0.2">
      <c r="A1498" s="65" t="s">
        <v>193</v>
      </c>
      <c r="B1498" s="66" t="s">
        <v>189</v>
      </c>
      <c r="C1498" s="67">
        <f>+Lista_prec_base!C35</f>
        <v>8496</v>
      </c>
      <c r="D1498" s="68"/>
      <c r="E1498" s="69">
        <v>0.5</v>
      </c>
      <c r="F1498" s="70">
        <f>+C1498/E1498</f>
        <v>16992</v>
      </c>
    </row>
    <row r="1499" spans="1:6" x14ac:dyDescent="0.2">
      <c r="A1499" s="65"/>
      <c r="B1499" s="66"/>
      <c r="C1499" s="67"/>
      <c r="D1499" s="68"/>
      <c r="E1499" s="69"/>
      <c r="F1499" s="70"/>
    </row>
    <row r="1500" spans="1:6" x14ac:dyDescent="0.2">
      <c r="A1500" s="65">
        <v>0</v>
      </c>
      <c r="B1500" s="66">
        <v>0</v>
      </c>
      <c r="C1500" s="67">
        <v>0</v>
      </c>
      <c r="D1500" s="68"/>
      <c r="E1500" s="71"/>
      <c r="F1500" s="70">
        <v>0</v>
      </c>
    </row>
    <row r="1501" spans="1:6" x14ac:dyDescent="0.2">
      <c r="A1501" s="65">
        <v>0</v>
      </c>
      <c r="B1501" s="66">
        <v>0</v>
      </c>
      <c r="C1501" s="67">
        <v>0</v>
      </c>
      <c r="D1501" s="68"/>
      <c r="E1501" s="71"/>
      <c r="F1501" s="70">
        <v>0</v>
      </c>
    </row>
    <row r="1502" spans="1:6" ht="15" x14ac:dyDescent="0.25">
      <c r="A1502" s="72"/>
      <c r="B1502" s="73"/>
      <c r="C1502" s="408" t="s">
        <v>163</v>
      </c>
      <c r="D1502" s="408"/>
      <c r="E1502" s="409"/>
      <c r="F1502" s="74">
        <f>SUM(F1498:F1501)</f>
        <v>16992</v>
      </c>
    </row>
    <row r="1503" spans="1:6" x14ac:dyDescent="0.2">
      <c r="A1503" s="75" t="s">
        <v>164</v>
      </c>
      <c r="B1503" s="76"/>
      <c r="C1503" s="76"/>
      <c r="D1503" s="77"/>
      <c r="E1503" s="78"/>
      <c r="F1503" s="79"/>
    </row>
    <row r="1504" spans="1:6" x14ac:dyDescent="0.2">
      <c r="A1504" s="61" t="s">
        <v>158</v>
      </c>
      <c r="B1504" s="62" t="s">
        <v>159</v>
      </c>
      <c r="C1504" s="406" t="s">
        <v>7</v>
      </c>
      <c r="D1504" s="407"/>
      <c r="E1504" s="63" t="s">
        <v>165</v>
      </c>
      <c r="F1504" s="64" t="s">
        <v>162</v>
      </c>
    </row>
    <row r="1505" spans="1:6" x14ac:dyDescent="0.2">
      <c r="A1505" s="85"/>
      <c r="B1505" s="66"/>
      <c r="C1505" s="81"/>
      <c r="D1505" s="82"/>
      <c r="E1505" s="83"/>
      <c r="F1505" s="84"/>
    </row>
    <row r="1506" spans="1:6" x14ac:dyDescent="0.2">
      <c r="A1506" s="65"/>
      <c r="B1506" s="66"/>
      <c r="C1506" s="81"/>
      <c r="D1506" s="82"/>
      <c r="E1506" s="83"/>
      <c r="F1506" s="84"/>
    </row>
    <row r="1507" spans="1:6" x14ac:dyDescent="0.2">
      <c r="A1507" s="65"/>
      <c r="B1507" s="66"/>
      <c r="C1507" s="121"/>
      <c r="D1507" s="82"/>
      <c r="E1507" s="83"/>
      <c r="F1507" s="84"/>
    </row>
    <row r="1508" spans="1:6" x14ac:dyDescent="0.2">
      <c r="A1508" s="65"/>
      <c r="B1508" s="66"/>
      <c r="C1508" s="81"/>
      <c r="D1508" s="82"/>
      <c r="E1508" s="83"/>
      <c r="F1508" s="84"/>
    </row>
    <row r="1509" spans="1:6" x14ac:dyDescent="0.2">
      <c r="A1509" s="65"/>
      <c r="B1509" s="66"/>
      <c r="C1509" s="81"/>
      <c r="D1509" s="82"/>
      <c r="E1509" s="83"/>
      <c r="F1509" s="84"/>
    </row>
    <row r="1510" spans="1:6" x14ac:dyDescent="0.2">
      <c r="A1510" s="65"/>
      <c r="B1510" s="66"/>
      <c r="C1510" s="81"/>
      <c r="D1510" s="82"/>
      <c r="E1510" s="83"/>
      <c r="F1510" s="84"/>
    </row>
    <row r="1511" spans="1:6" ht="15" x14ac:dyDescent="0.25">
      <c r="A1511" s="72"/>
      <c r="B1511" s="73"/>
      <c r="C1511" s="408" t="s">
        <v>167</v>
      </c>
      <c r="D1511" s="408"/>
      <c r="E1511" s="409"/>
      <c r="F1511" s="74">
        <f>SUM(F1505:F1510)</f>
        <v>0</v>
      </c>
    </row>
    <row r="1512" spans="1:6" x14ac:dyDescent="0.2">
      <c r="A1512" s="72" t="s">
        <v>168</v>
      </c>
      <c r="B1512" s="73"/>
      <c r="C1512" s="73"/>
      <c r="D1512" s="88"/>
      <c r="E1512" s="89"/>
      <c r="F1512" s="90"/>
    </row>
    <row r="1513" spans="1:6" x14ac:dyDescent="0.2">
      <c r="A1513" s="61" t="s">
        <v>158</v>
      </c>
      <c r="B1513" s="62" t="s">
        <v>159</v>
      </c>
      <c r="C1513" s="62" t="s">
        <v>169</v>
      </c>
      <c r="D1513" s="91" t="s">
        <v>170</v>
      </c>
      <c r="E1513" s="63"/>
      <c r="F1513" s="64" t="s">
        <v>171</v>
      </c>
    </row>
    <row r="1514" spans="1:6" x14ac:dyDescent="0.2">
      <c r="A1514" s="65" t="s">
        <v>190</v>
      </c>
      <c r="B1514" s="92" t="s">
        <v>191</v>
      </c>
      <c r="C1514" s="93">
        <v>1.65</v>
      </c>
      <c r="D1514" s="94">
        <f>+Lista_prec_base!C43</f>
        <v>67000</v>
      </c>
      <c r="E1514" s="95">
        <v>2.7127530919674219</v>
      </c>
      <c r="F1514" s="70">
        <f>+C1514*D1514/E1514</f>
        <v>40751.957974849713</v>
      </c>
    </row>
    <row r="1515" spans="1:6" x14ac:dyDescent="0.2">
      <c r="A1515" s="65">
        <v>0</v>
      </c>
      <c r="B1515" s="92">
        <v>0</v>
      </c>
      <c r="C1515" s="93"/>
      <c r="D1515" s="94">
        <v>0</v>
      </c>
      <c r="E1515" s="96"/>
      <c r="F1515" s="97">
        <v>0</v>
      </c>
    </row>
    <row r="1516" spans="1:6" x14ac:dyDescent="0.2">
      <c r="A1516" s="65">
        <v>0</v>
      </c>
      <c r="B1516" s="92">
        <v>0</v>
      </c>
      <c r="C1516" s="93"/>
      <c r="D1516" s="94">
        <v>0</v>
      </c>
      <c r="E1516" s="96"/>
      <c r="F1516" s="97">
        <v>0</v>
      </c>
    </row>
    <row r="1517" spans="1:6" ht="15" x14ac:dyDescent="0.25">
      <c r="A1517" s="72"/>
      <c r="B1517" s="73"/>
      <c r="C1517" s="408" t="s">
        <v>172</v>
      </c>
      <c r="D1517" s="408"/>
      <c r="E1517" s="409"/>
      <c r="F1517" s="74">
        <f>+F1514</f>
        <v>40751.957974849713</v>
      </c>
    </row>
    <row r="1518" spans="1:6" x14ac:dyDescent="0.2">
      <c r="A1518" s="75" t="s">
        <v>173</v>
      </c>
      <c r="B1518" s="76"/>
      <c r="C1518" s="76"/>
      <c r="D1518" s="77"/>
      <c r="E1518" s="78"/>
      <c r="F1518" s="79"/>
    </row>
    <row r="1519" spans="1:6" x14ac:dyDescent="0.2">
      <c r="A1519" s="61" t="s">
        <v>158</v>
      </c>
      <c r="B1519" s="62" t="s">
        <v>159</v>
      </c>
      <c r="C1519" s="62" t="s">
        <v>174</v>
      </c>
      <c r="D1519" s="98" t="s">
        <v>175</v>
      </c>
      <c r="E1519" s="63" t="s">
        <v>165</v>
      </c>
      <c r="F1519" s="64" t="s">
        <v>162</v>
      </c>
    </row>
    <row r="1520" spans="1:6" x14ac:dyDescent="0.2">
      <c r="A1520" s="65">
        <v>0</v>
      </c>
      <c r="B1520" s="66">
        <v>0</v>
      </c>
      <c r="C1520" s="99"/>
      <c r="D1520" s="81"/>
      <c r="E1520" s="83">
        <v>0</v>
      </c>
      <c r="F1520" s="84">
        <v>0</v>
      </c>
    </row>
    <row r="1521" spans="1:6" x14ac:dyDescent="0.2">
      <c r="A1521" s="65">
        <v>0</v>
      </c>
      <c r="B1521" s="66">
        <v>0</v>
      </c>
      <c r="C1521" s="99"/>
      <c r="D1521" s="81"/>
      <c r="E1521" s="83">
        <v>0</v>
      </c>
      <c r="F1521" s="84">
        <v>0</v>
      </c>
    </row>
    <row r="1522" spans="1:6" ht="15" x14ac:dyDescent="0.25">
      <c r="A1522" s="72"/>
      <c r="B1522" s="73"/>
      <c r="C1522" s="408" t="s">
        <v>176</v>
      </c>
      <c r="D1522" s="408"/>
      <c r="E1522" s="409"/>
      <c r="F1522" s="74">
        <v>0</v>
      </c>
    </row>
    <row r="1523" spans="1:6" ht="15" thickBot="1" x14ac:dyDescent="0.25">
      <c r="A1523" s="75"/>
      <c r="B1523" s="76"/>
      <c r="C1523" s="76"/>
      <c r="D1523" s="77"/>
      <c r="E1523" s="78"/>
      <c r="F1523" s="79"/>
    </row>
    <row r="1524" spans="1:6" ht="15.75" thickBot="1" x14ac:dyDescent="0.3">
      <c r="A1524" s="100" t="s">
        <v>177</v>
      </c>
      <c r="B1524" s="101"/>
      <c r="C1524" s="101"/>
      <c r="D1524" s="101"/>
      <c r="E1524" s="102"/>
      <c r="F1524" s="103">
        <f>+F1502+F1511+F1517</f>
        <v>57743.957974849713</v>
      </c>
    </row>
    <row r="1525" spans="1:6" ht="15" x14ac:dyDescent="0.25">
      <c r="A1525" s="104" t="s">
        <v>178</v>
      </c>
      <c r="B1525" s="105"/>
      <c r="C1525" s="105"/>
      <c r="D1525" s="105"/>
      <c r="E1525" s="105"/>
      <c r="F1525" s="106" t="s">
        <v>179</v>
      </c>
    </row>
    <row r="1526" spans="1:6" x14ac:dyDescent="0.2">
      <c r="A1526" s="399" t="s">
        <v>158</v>
      </c>
      <c r="B1526" s="400"/>
      <c r="C1526" s="400"/>
      <c r="D1526" s="400"/>
      <c r="E1526" s="107" t="s">
        <v>144</v>
      </c>
      <c r="F1526" s="108"/>
    </row>
    <row r="1527" spans="1:6" x14ac:dyDescent="0.2">
      <c r="A1527" s="399" t="s">
        <v>180</v>
      </c>
      <c r="B1527" s="400"/>
      <c r="C1527" s="400"/>
      <c r="D1527" s="400"/>
      <c r="E1527" s="109">
        <v>0.23</v>
      </c>
      <c r="F1527" s="108">
        <f>+E1527*F1524</f>
        <v>13281.110334215435</v>
      </c>
    </row>
    <row r="1528" spans="1:6" x14ac:dyDescent="0.2">
      <c r="A1528" s="399" t="s">
        <v>181</v>
      </c>
      <c r="B1528" s="400"/>
      <c r="C1528" s="400"/>
      <c r="D1528" s="400"/>
      <c r="E1528" s="109">
        <v>0.02</v>
      </c>
      <c r="F1528" s="108">
        <f>+E1528*F1524</f>
        <v>1154.8791594969944</v>
      </c>
    </row>
    <row r="1529" spans="1:6" x14ac:dyDescent="0.2">
      <c r="A1529" s="399" t="s">
        <v>182</v>
      </c>
      <c r="B1529" s="400"/>
      <c r="C1529" s="400"/>
      <c r="D1529" s="400"/>
      <c r="E1529" s="109">
        <v>0.05</v>
      </c>
      <c r="F1529" s="108">
        <f>+E1529*F1524</f>
        <v>2887.1978987424859</v>
      </c>
    </row>
    <row r="1530" spans="1:6" x14ac:dyDescent="0.2">
      <c r="A1530" s="110" t="s">
        <v>183</v>
      </c>
      <c r="B1530" s="111"/>
      <c r="C1530" s="111"/>
      <c r="D1530" s="111"/>
      <c r="E1530" s="109"/>
      <c r="F1530" s="108">
        <v>0</v>
      </c>
    </row>
    <row r="1531" spans="1:6" ht="15" x14ac:dyDescent="0.2">
      <c r="A1531" s="112"/>
      <c r="B1531" s="113"/>
      <c r="C1531" s="113"/>
      <c r="D1531" s="113"/>
      <c r="E1531" s="114" t="s">
        <v>184</v>
      </c>
      <c r="F1531" s="115">
        <f>+F1527+F1528+F1529</f>
        <v>17323.187392454915</v>
      </c>
    </row>
    <row r="1532" spans="1:6" ht="15.75" thickBot="1" x14ac:dyDescent="0.3">
      <c r="A1532" s="401" t="s">
        <v>185</v>
      </c>
      <c r="B1532" s="402"/>
      <c r="C1532" s="402"/>
      <c r="D1532" s="402"/>
      <c r="E1532" s="402"/>
      <c r="F1532" s="116">
        <f>+F1524+F1531</f>
        <v>75067.14536730462</v>
      </c>
    </row>
    <row r="1533" spans="1:6" x14ac:dyDescent="0.2">
      <c r="A1533" s="41" t="s">
        <v>153</v>
      </c>
      <c r="B1533" s="117" t="s">
        <v>63</v>
      </c>
      <c r="C1533" s="43"/>
      <c r="D1533" s="44"/>
      <c r="E1533" s="45"/>
      <c r="F1533" s="46"/>
    </row>
    <row r="1534" spans="1:6" x14ac:dyDescent="0.2">
      <c r="A1534" s="48" t="s">
        <v>154</v>
      </c>
      <c r="B1534" s="403" t="s">
        <v>70</v>
      </c>
      <c r="C1534" s="404"/>
      <c r="D1534" s="404"/>
      <c r="E1534" s="404"/>
      <c r="F1534" s="405"/>
    </row>
    <row r="1535" spans="1:6" ht="15" thickBot="1" x14ac:dyDescent="0.25">
      <c r="A1535" s="50" t="s">
        <v>156</v>
      </c>
      <c r="B1535" s="51" t="s">
        <v>15</v>
      </c>
      <c r="C1535" s="52"/>
      <c r="D1535" s="53"/>
      <c r="E1535" s="52"/>
      <c r="F1535" s="54"/>
    </row>
    <row r="1536" spans="1:6" x14ac:dyDescent="0.2">
      <c r="A1536" s="55" t="s">
        <v>157</v>
      </c>
      <c r="B1536" s="56"/>
      <c r="C1536" s="57"/>
      <c r="D1536" s="58"/>
      <c r="E1536" s="59"/>
      <c r="F1536" s="60"/>
    </row>
    <row r="1537" spans="1:6" x14ac:dyDescent="0.2">
      <c r="A1537" s="61" t="s">
        <v>158</v>
      </c>
      <c r="B1537" s="62" t="s">
        <v>159</v>
      </c>
      <c r="C1537" s="406" t="s">
        <v>160</v>
      </c>
      <c r="D1537" s="407"/>
      <c r="E1537" s="63" t="s">
        <v>161</v>
      </c>
      <c r="F1537" s="64" t="s">
        <v>162</v>
      </c>
    </row>
    <row r="1538" spans="1:6" x14ac:dyDescent="0.2">
      <c r="A1538" s="65" t="s">
        <v>193</v>
      </c>
      <c r="B1538" s="66" t="s">
        <v>189</v>
      </c>
      <c r="C1538" s="67">
        <f>+Lista_prec_base!C35</f>
        <v>8496</v>
      </c>
      <c r="D1538" s="68"/>
      <c r="E1538" s="69">
        <v>0.5</v>
      </c>
      <c r="F1538" s="70">
        <f>+C1538/E1538</f>
        <v>16992</v>
      </c>
    </row>
    <row r="1539" spans="1:6" x14ac:dyDescent="0.2">
      <c r="A1539" s="65"/>
      <c r="B1539" s="66"/>
      <c r="C1539" s="67"/>
      <c r="D1539" s="68"/>
      <c r="E1539" s="69"/>
      <c r="F1539" s="70"/>
    </row>
    <row r="1540" spans="1:6" x14ac:dyDescent="0.2">
      <c r="A1540" s="65">
        <v>0</v>
      </c>
      <c r="B1540" s="66">
        <v>0</v>
      </c>
      <c r="C1540" s="67">
        <v>0</v>
      </c>
      <c r="D1540" s="68"/>
      <c r="E1540" s="71"/>
      <c r="F1540" s="70">
        <v>0</v>
      </c>
    </row>
    <row r="1541" spans="1:6" x14ac:dyDescent="0.2">
      <c r="A1541" s="65">
        <v>0</v>
      </c>
      <c r="B1541" s="66">
        <v>0</v>
      </c>
      <c r="C1541" s="67">
        <v>0</v>
      </c>
      <c r="D1541" s="68"/>
      <c r="E1541" s="71"/>
      <c r="F1541" s="70">
        <v>0</v>
      </c>
    </row>
    <row r="1542" spans="1:6" ht="15" x14ac:dyDescent="0.25">
      <c r="A1542" s="72"/>
      <c r="B1542" s="73"/>
      <c r="C1542" s="408" t="s">
        <v>163</v>
      </c>
      <c r="D1542" s="408"/>
      <c r="E1542" s="409"/>
      <c r="F1542" s="74">
        <f>SUM(F1538:F1541)</f>
        <v>16992</v>
      </c>
    </row>
    <row r="1543" spans="1:6" x14ac:dyDescent="0.2">
      <c r="A1543" s="75" t="s">
        <v>164</v>
      </c>
      <c r="B1543" s="76"/>
      <c r="C1543" s="76"/>
      <c r="D1543" s="77"/>
      <c r="E1543" s="78"/>
      <c r="F1543" s="79"/>
    </row>
    <row r="1544" spans="1:6" x14ac:dyDescent="0.2">
      <c r="A1544" s="61" t="s">
        <v>158</v>
      </c>
      <c r="B1544" s="62" t="s">
        <v>159</v>
      </c>
      <c r="C1544" s="406" t="s">
        <v>7</v>
      </c>
      <c r="D1544" s="407"/>
      <c r="E1544" s="63" t="s">
        <v>165</v>
      </c>
      <c r="F1544" s="64" t="s">
        <v>162</v>
      </c>
    </row>
    <row r="1545" spans="1:6" x14ac:dyDescent="0.2">
      <c r="A1545" s="85"/>
      <c r="B1545" s="66"/>
      <c r="C1545" s="81"/>
      <c r="D1545" s="82"/>
      <c r="E1545" s="83"/>
      <c r="F1545" s="84"/>
    </row>
    <row r="1546" spans="1:6" x14ac:dyDescent="0.2">
      <c r="A1546" s="65"/>
      <c r="B1546" s="66"/>
      <c r="C1546" s="81"/>
      <c r="D1546" s="82"/>
      <c r="E1546" s="83"/>
      <c r="F1546" s="84"/>
    </row>
    <row r="1547" spans="1:6" x14ac:dyDescent="0.2">
      <c r="A1547" s="65"/>
      <c r="B1547" s="66"/>
      <c r="C1547" s="121"/>
      <c r="D1547" s="82"/>
      <c r="E1547" s="83"/>
      <c r="F1547" s="84"/>
    </row>
    <row r="1548" spans="1:6" x14ac:dyDescent="0.2">
      <c r="A1548" s="65"/>
      <c r="B1548" s="66"/>
      <c r="C1548" s="81"/>
      <c r="D1548" s="82"/>
      <c r="E1548" s="83"/>
      <c r="F1548" s="84"/>
    </row>
    <row r="1549" spans="1:6" x14ac:dyDescent="0.2">
      <c r="A1549" s="65"/>
      <c r="B1549" s="66"/>
      <c r="C1549" s="81"/>
      <c r="D1549" s="82"/>
      <c r="E1549" s="83"/>
      <c r="F1549" s="84"/>
    </row>
    <row r="1550" spans="1:6" x14ac:dyDescent="0.2">
      <c r="A1550" s="65"/>
      <c r="B1550" s="66"/>
      <c r="C1550" s="81"/>
      <c r="D1550" s="82"/>
      <c r="E1550" s="83"/>
      <c r="F1550" s="84"/>
    </row>
    <row r="1551" spans="1:6" ht="15" x14ac:dyDescent="0.25">
      <c r="A1551" s="72"/>
      <c r="B1551" s="73"/>
      <c r="C1551" s="408" t="s">
        <v>167</v>
      </c>
      <c r="D1551" s="408"/>
      <c r="E1551" s="409"/>
      <c r="F1551" s="74">
        <f>SUM(F1545:F1550)</f>
        <v>0</v>
      </c>
    </row>
    <row r="1552" spans="1:6" x14ac:dyDescent="0.2">
      <c r="A1552" s="72" t="s">
        <v>168</v>
      </c>
      <c r="B1552" s="73"/>
      <c r="C1552" s="73"/>
      <c r="D1552" s="88"/>
      <c r="E1552" s="89"/>
      <c r="F1552" s="90"/>
    </row>
    <row r="1553" spans="1:6" x14ac:dyDescent="0.2">
      <c r="A1553" s="61" t="s">
        <v>158</v>
      </c>
      <c r="B1553" s="62" t="s">
        <v>159</v>
      </c>
      <c r="C1553" s="62" t="s">
        <v>169</v>
      </c>
      <c r="D1553" s="91" t="s">
        <v>170</v>
      </c>
      <c r="E1553" s="63"/>
      <c r="F1553" s="64" t="s">
        <v>171</v>
      </c>
    </row>
    <row r="1554" spans="1:6" x14ac:dyDescent="0.2">
      <c r="A1554" s="65" t="s">
        <v>190</v>
      </c>
      <c r="B1554" s="92" t="s">
        <v>191</v>
      </c>
      <c r="C1554" s="93">
        <v>1.65</v>
      </c>
      <c r="D1554" s="94">
        <f>+Lista_prec_base!C43</f>
        <v>67000</v>
      </c>
      <c r="E1554" s="95">
        <v>1.118786214315727</v>
      </c>
      <c r="F1554" s="70">
        <f>+C1554*D1554/E1554</f>
        <v>98812.443865886104</v>
      </c>
    </row>
    <row r="1555" spans="1:6" x14ac:dyDescent="0.2">
      <c r="A1555" s="65">
        <v>0</v>
      </c>
      <c r="B1555" s="92">
        <v>0</v>
      </c>
      <c r="C1555" s="93"/>
      <c r="D1555" s="94">
        <v>0</v>
      </c>
      <c r="E1555" s="96"/>
      <c r="F1555" s="97">
        <v>0</v>
      </c>
    </row>
    <row r="1556" spans="1:6" x14ac:dyDescent="0.2">
      <c r="A1556" s="65">
        <v>0</v>
      </c>
      <c r="B1556" s="92">
        <v>0</v>
      </c>
      <c r="C1556" s="93"/>
      <c r="D1556" s="94">
        <v>0</v>
      </c>
      <c r="E1556" s="96"/>
      <c r="F1556" s="97">
        <v>0</v>
      </c>
    </row>
    <row r="1557" spans="1:6" ht="15" x14ac:dyDescent="0.25">
      <c r="A1557" s="72"/>
      <c r="B1557" s="73"/>
      <c r="C1557" s="408" t="s">
        <v>172</v>
      </c>
      <c r="D1557" s="408"/>
      <c r="E1557" s="409"/>
      <c r="F1557" s="74">
        <f>+F1554</f>
        <v>98812.443865886104</v>
      </c>
    </row>
    <row r="1558" spans="1:6" x14ac:dyDescent="0.2">
      <c r="A1558" s="75" t="s">
        <v>173</v>
      </c>
      <c r="B1558" s="76"/>
      <c r="C1558" s="76"/>
      <c r="D1558" s="77"/>
      <c r="E1558" s="78"/>
      <c r="F1558" s="79"/>
    </row>
    <row r="1559" spans="1:6" x14ac:dyDescent="0.2">
      <c r="A1559" s="61" t="s">
        <v>158</v>
      </c>
      <c r="B1559" s="62" t="s">
        <v>159</v>
      </c>
      <c r="C1559" s="62" t="s">
        <v>174</v>
      </c>
      <c r="D1559" s="98" t="s">
        <v>175</v>
      </c>
      <c r="E1559" s="63" t="s">
        <v>165</v>
      </c>
      <c r="F1559" s="64" t="s">
        <v>162</v>
      </c>
    </row>
    <row r="1560" spans="1:6" x14ac:dyDescent="0.2">
      <c r="A1560" s="65">
        <v>0</v>
      </c>
      <c r="B1560" s="66">
        <v>0</v>
      </c>
      <c r="C1560" s="99"/>
      <c r="D1560" s="81"/>
      <c r="E1560" s="83">
        <v>0</v>
      </c>
      <c r="F1560" s="84">
        <v>0</v>
      </c>
    </row>
    <row r="1561" spans="1:6" x14ac:dyDescent="0.2">
      <c r="A1561" s="65">
        <v>0</v>
      </c>
      <c r="B1561" s="66">
        <v>0</v>
      </c>
      <c r="C1561" s="99"/>
      <c r="D1561" s="81"/>
      <c r="E1561" s="83">
        <v>0</v>
      </c>
      <c r="F1561" s="84">
        <v>0</v>
      </c>
    </row>
    <row r="1562" spans="1:6" ht="15" x14ac:dyDescent="0.25">
      <c r="A1562" s="72"/>
      <c r="B1562" s="73"/>
      <c r="C1562" s="408" t="s">
        <v>176</v>
      </c>
      <c r="D1562" s="408"/>
      <c r="E1562" s="409"/>
      <c r="F1562" s="74">
        <v>0</v>
      </c>
    </row>
    <row r="1563" spans="1:6" ht="15" thickBot="1" x14ac:dyDescent="0.25">
      <c r="A1563" s="75"/>
      <c r="B1563" s="76"/>
      <c r="C1563" s="76"/>
      <c r="D1563" s="77"/>
      <c r="E1563" s="78"/>
      <c r="F1563" s="79"/>
    </row>
    <row r="1564" spans="1:6" ht="15.75" thickBot="1" x14ac:dyDescent="0.3">
      <c r="A1564" s="100" t="s">
        <v>177</v>
      </c>
      <c r="B1564" s="101"/>
      <c r="C1564" s="101"/>
      <c r="D1564" s="101"/>
      <c r="E1564" s="102"/>
      <c r="F1564" s="103">
        <f>+F1542+F1551+F1557</f>
        <v>115804.4438658861</v>
      </c>
    </row>
    <row r="1565" spans="1:6" ht="15" x14ac:dyDescent="0.25">
      <c r="A1565" s="104" t="s">
        <v>178</v>
      </c>
      <c r="B1565" s="105"/>
      <c r="C1565" s="105"/>
      <c r="D1565" s="105"/>
      <c r="E1565" s="105"/>
      <c r="F1565" s="106" t="s">
        <v>179</v>
      </c>
    </row>
    <row r="1566" spans="1:6" x14ac:dyDescent="0.2">
      <c r="A1566" s="399" t="s">
        <v>158</v>
      </c>
      <c r="B1566" s="400"/>
      <c r="C1566" s="400"/>
      <c r="D1566" s="400"/>
      <c r="E1566" s="107" t="s">
        <v>144</v>
      </c>
      <c r="F1566" s="108"/>
    </row>
    <row r="1567" spans="1:6" x14ac:dyDescent="0.2">
      <c r="A1567" s="399" t="s">
        <v>180</v>
      </c>
      <c r="B1567" s="400"/>
      <c r="C1567" s="400"/>
      <c r="D1567" s="400"/>
      <c r="E1567" s="109">
        <v>0.23</v>
      </c>
      <c r="F1567" s="108">
        <f>+E1567*F1564</f>
        <v>26635.022089153805</v>
      </c>
    </row>
    <row r="1568" spans="1:6" x14ac:dyDescent="0.2">
      <c r="A1568" s="399" t="s">
        <v>181</v>
      </c>
      <c r="B1568" s="400"/>
      <c r="C1568" s="400"/>
      <c r="D1568" s="400"/>
      <c r="E1568" s="109">
        <v>0.02</v>
      </c>
      <c r="F1568" s="108">
        <f>+E1568*F1564</f>
        <v>2316.0888773177221</v>
      </c>
    </row>
    <row r="1569" spans="1:6" x14ac:dyDescent="0.2">
      <c r="A1569" s="399" t="s">
        <v>182</v>
      </c>
      <c r="B1569" s="400"/>
      <c r="C1569" s="400"/>
      <c r="D1569" s="400"/>
      <c r="E1569" s="109">
        <v>0.05</v>
      </c>
      <c r="F1569" s="108">
        <f>+E1569*F1564</f>
        <v>5790.2221932943057</v>
      </c>
    </row>
    <row r="1570" spans="1:6" x14ac:dyDescent="0.2">
      <c r="A1570" s="110" t="s">
        <v>183</v>
      </c>
      <c r="B1570" s="111"/>
      <c r="C1570" s="111"/>
      <c r="D1570" s="111"/>
      <c r="E1570" s="109"/>
      <c r="F1570" s="108">
        <v>0</v>
      </c>
    </row>
    <row r="1571" spans="1:6" ht="15" x14ac:dyDescent="0.2">
      <c r="A1571" s="112"/>
      <c r="B1571" s="113"/>
      <c r="C1571" s="113"/>
      <c r="D1571" s="113"/>
      <c r="E1571" s="114" t="s">
        <v>184</v>
      </c>
      <c r="F1571" s="115">
        <f>+F1567+F1568+F1569</f>
        <v>34741.333159765833</v>
      </c>
    </row>
    <row r="1572" spans="1:6" ht="15.75" thickBot="1" x14ac:dyDescent="0.3">
      <c r="A1572" s="401" t="s">
        <v>185</v>
      </c>
      <c r="B1572" s="402"/>
      <c r="C1572" s="402"/>
      <c r="D1572" s="402"/>
      <c r="E1572" s="402"/>
      <c r="F1572" s="116">
        <f>+F1564+F1571</f>
        <v>150545.77702565194</v>
      </c>
    </row>
    <row r="1573" spans="1:6" x14ac:dyDescent="0.2">
      <c r="A1573" s="41" t="s">
        <v>153</v>
      </c>
      <c r="B1573" s="117" t="s">
        <v>64</v>
      </c>
      <c r="C1573" s="43"/>
      <c r="D1573" s="44"/>
      <c r="E1573" s="45"/>
      <c r="F1573" s="46"/>
    </row>
    <row r="1574" spans="1:6" x14ac:dyDescent="0.2">
      <c r="A1574" s="48" t="s">
        <v>154</v>
      </c>
      <c r="B1574" s="403" t="s">
        <v>71</v>
      </c>
      <c r="C1574" s="404"/>
      <c r="D1574" s="404"/>
      <c r="E1574" s="404"/>
      <c r="F1574" s="405"/>
    </row>
    <row r="1575" spans="1:6" ht="15" thickBot="1" x14ac:dyDescent="0.25">
      <c r="A1575" s="50" t="s">
        <v>156</v>
      </c>
      <c r="B1575" s="51" t="s">
        <v>15</v>
      </c>
      <c r="C1575" s="52"/>
      <c r="D1575" s="53"/>
      <c r="E1575" s="52"/>
      <c r="F1575" s="54"/>
    </row>
    <row r="1576" spans="1:6" x14ac:dyDescent="0.2">
      <c r="A1576" s="55" t="s">
        <v>157</v>
      </c>
      <c r="B1576" s="56"/>
      <c r="C1576" s="57"/>
      <c r="D1576" s="58"/>
      <c r="E1576" s="59"/>
      <c r="F1576" s="60"/>
    </row>
    <row r="1577" spans="1:6" x14ac:dyDescent="0.2">
      <c r="A1577" s="61" t="s">
        <v>158</v>
      </c>
      <c r="B1577" s="62" t="s">
        <v>159</v>
      </c>
      <c r="C1577" s="406" t="s">
        <v>160</v>
      </c>
      <c r="D1577" s="407"/>
      <c r="E1577" s="63" t="s">
        <v>161</v>
      </c>
      <c r="F1577" s="64" t="s">
        <v>162</v>
      </c>
    </row>
    <row r="1578" spans="1:6" x14ac:dyDescent="0.2">
      <c r="A1578" s="65" t="s">
        <v>193</v>
      </c>
      <c r="B1578" s="66" t="s">
        <v>189</v>
      </c>
      <c r="C1578" s="67">
        <f>+Lista_prec_base!C35</f>
        <v>8496</v>
      </c>
      <c r="D1578" s="68"/>
      <c r="E1578" s="69">
        <v>0.5</v>
      </c>
      <c r="F1578" s="70">
        <f>+C1578/E1578</f>
        <v>16992</v>
      </c>
    </row>
    <row r="1579" spans="1:6" x14ac:dyDescent="0.2">
      <c r="A1579" s="65"/>
      <c r="B1579" s="66"/>
      <c r="C1579" s="67"/>
      <c r="D1579" s="68"/>
      <c r="E1579" s="69"/>
      <c r="F1579" s="70"/>
    </row>
    <row r="1580" spans="1:6" x14ac:dyDescent="0.2">
      <c r="A1580" s="65">
        <v>0</v>
      </c>
      <c r="B1580" s="66">
        <v>0</v>
      </c>
      <c r="C1580" s="67">
        <v>0</v>
      </c>
      <c r="D1580" s="68"/>
      <c r="E1580" s="71"/>
      <c r="F1580" s="70">
        <v>0</v>
      </c>
    </row>
    <row r="1581" spans="1:6" x14ac:dyDescent="0.2">
      <c r="A1581" s="65">
        <v>0</v>
      </c>
      <c r="B1581" s="66">
        <v>0</v>
      </c>
      <c r="C1581" s="67">
        <v>0</v>
      </c>
      <c r="D1581" s="68"/>
      <c r="E1581" s="71"/>
      <c r="F1581" s="70">
        <v>0</v>
      </c>
    </row>
    <row r="1582" spans="1:6" ht="15" x14ac:dyDescent="0.25">
      <c r="A1582" s="72"/>
      <c r="B1582" s="73"/>
      <c r="C1582" s="408" t="s">
        <v>163</v>
      </c>
      <c r="D1582" s="408"/>
      <c r="E1582" s="409"/>
      <c r="F1582" s="74">
        <f>SUM(F1578:F1581)</f>
        <v>16992</v>
      </c>
    </row>
    <row r="1583" spans="1:6" x14ac:dyDescent="0.2">
      <c r="A1583" s="75" t="s">
        <v>164</v>
      </c>
      <c r="B1583" s="76"/>
      <c r="C1583" s="76"/>
      <c r="D1583" s="77"/>
      <c r="E1583" s="78"/>
      <c r="F1583" s="79"/>
    </row>
    <row r="1584" spans="1:6" x14ac:dyDescent="0.2">
      <c r="A1584" s="61" t="s">
        <v>158</v>
      </c>
      <c r="B1584" s="62" t="s">
        <v>159</v>
      </c>
      <c r="C1584" s="406" t="s">
        <v>7</v>
      </c>
      <c r="D1584" s="407"/>
      <c r="E1584" s="63" t="s">
        <v>165</v>
      </c>
      <c r="F1584" s="64" t="s">
        <v>162</v>
      </c>
    </row>
    <row r="1585" spans="1:6" x14ac:dyDescent="0.2">
      <c r="A1585" s="85"/>
      <c r="B1585" s="66"/>
      <c r="C1585" s="81"/>
      <c r="D1585" s="82"/>
      <c r="E1585" s="83"/>
      <c r="F1585" s="84"/>
    </row>
    <row r="1586" spans="1:6" x14ac:dyDescent="0.2">
      <c r="A1586" s="65"/>
      <c r="B1586" s="66"/>
      <c r="C1586" s="81"/>
      <c r="D1586" s="82"/>
      <c r="E1586" s="83"/>
      <c r="F1586" s="84"/>
    </row>
    <row r="1587" spans="1:6" x14ac:dyDescent="0.2">
      <c r="A1587" s="65"/>
      <c r="B1587" s="66"/>
      <c r="C1587" s="121"/>
      <c r="D1587" s="82"/>
      <c r="E1587" s="83"/>
      <c r="F1587" s="84"/>
    </row>
    <row r="1588" spans="1:6" x14ac:dyDescent="0.2">
      <c r="A1588" s="65"/>
      <c r="B1588" s="66"/>
      <c r="C1588" s="81"/>
      <c r="D1588" s="82"/>
      <c r="E1588" s="83"/>
      <c r="F1588" s="84"/>
    </row>
    <row r="1589" spans="1:6" x14ac:dyDescent="0.2">
      <c r="A1589" s="65"/>
      <c r="B1589" s="66"/>
      <c r="C1589" s="81"/>
      <c r="D1589" s="82"/>
      <c r="E1589" s="83"/>
      <c r="F1589" s="84"/>
    </row>
    <row r="1590" spans="1:6" x14ac:dyDescent="0.2">
      <c r="A1590" s="65"/>
      <c r="B1590" s="66"/>
      <c r="C1590" s="81"/>
      <c r="D1590" s="82"/>
      <c r="E1590" s="83"/>
      <c r="F1590" s="84"/>
    </row>
    <row r="1591" spans="1:6" ht="15" x14ac:dyDescent="0.25">
      <c r="A1591" s="72"/>
      <c r="B1591" s="73"/>
      <c r="C1591" s="408" t="s">
        <v>167</v>
      </c>
      <c r="D1591" s="408"/>
      <c r="E1591" s="409"/>
      <c r="F1591" s="74">
        <f>SUM(F1585:F1590)</f>
        <v>0</v>
      </c>
    </row>
    <row r="1592" spans="1:6" x14ac:dyDescent="0.2">
      <c r="A1592" s="72" t="s">
        <v>168</v>
      </c>
      <c r="B1592" s="73"/>
      <c r="C1592" s="73"/>
      <c r="D1592" s="88"/>
      <c r="E1592" s="89"/>
      <c r="F1592" s="90"/>
    </row>
    <row r="1593" spans="1:6" x14ac:dyDescent="0.2">
      <c r="A1593" s="61" t="s">
        <v>158</v>
      </c>
      <c r="B1593" s="62" t="s">
        <v>159</v>
      </c>
      <c r="C1593" s="62" t="s">
        <v>169</v>
      </c>
      <c r="D1593" s="91" t="s">
        <v>170</v>
      </c>
      <c r="E1593" s="63"/>
      <c r="F1593" s="64" t="s">
        <v>171</v>
      </c>
    </row>
    <row r="1594" spans="1:6" x14ac:dyDescent="0.2">
      <c r="A1594" s="65" t="s">
        <v>190</v>
      </c>
      <c r="B1594" s="92" t="s">
        <v>191</v>
      </c>
      <c r="C1594" s="93">
        <v>1.65</v>
      </c>
      <c r="D1594" s="94">
        <f>+Lista_prec_base!C43</f>
        <v>67000</v>
      </c>
      <c r="E1594" s="95">
        <v>0.77655324173477602</v>
      </c>
      <c r="F1594" s="70">
        <f>+C1594*D1594/E1594</f>
        <v>142359.84612341269</v>
      </c>
    </row>
    <row r="1595" spans="1:6" x14ac:dyDescent="0.2">
      <c r="A1595" s="65">
        <v>0</v>
      </c>
      <c r="B1595" s="92">
        <v>0</v>
      </c>
      <c r="C1595" s="93"/>
      <c r="D1595" s="94">
        <v>0</v>
      </c>
      <c r="E1595" s="96"/>
      <c r="F1595" s="97">
        <v>0</v>
      </c>
    </row>
    <row r="1596" spans="1:6" x14ac:dyDescent="0.2">
      <c r="A1596" s="65">
        <v>0</v>
      </c>
      <c r="B1596" s="92">
        <v>0</v>
      </c>
      <c r="C1596" s="93"/>
      <c r="D1596" s="94">
        <v>0</v>
      </c>
      <c r="E1596" s="96"/>
      <c r="F1596" s="97">
        <v>0</v>
      </c>
    </row>
    <row r="1597" spans="1:6" ht="15" x14ac:dyDescent="0.25">
      <c r="A1597" s="72"/>
      <c r="B1597" s="73"/>
      <c r="C1597" s="408" t="s">
        <v>172</v>
      </c>
      <c r="D1597" s="408"/>
      <c r="E1597" s="409"/>
      <c r="F1597" s="74">
        <f>+F1594</f>
        <v>142359.84612341269</v>
      </c>
    </row>
    <row r="1598" spans="1:6" x14ac:dyDescent="0.2">
      <c r="A1598" s="75" t="s">
        <v>173</v>
      </c>
      <c r="B1598" s="76"/>
      <c r="C1598" s="76"/>
      <c r="D1598" s="77"/>
      <c r="E1598" s="78"/>
      <c r="F1598" s="79"/>
    </row>
    <row r="1599" spans="1:6" x14ac:dyDescent="0.2">
      <c r="A1599" s="61" t="s">
        <v>158</v>
      </c>
      <c r="B1599" s="62" t="s">
        <v>159</v>
      </c>
      <c r="C1599" s="62" t="s">
        <v>174</v>
      </c>
      <c r="D1599" s="98" t="s">
        <v>175</v>
      </c>
      <c r="E1599" s="63" t="s">
        <v>165</v>
      </c>
      <c r="F1599" s="64" t="s">
        <v>162</v>
      </c>
    </row>
    <row r="1600" spans="1:6" x14ac:dyDescent="0.2">
      <c r="A1600" s="65">
        <v>0</v>
      </c>
      <c r="B1600" s="66">
        <v>0</v>
      </c>
      <c r="C1600" s="99"/>
      <c r="D1600" s="81"/>
      <c r="E1600" s="83">
        <v>0</v>
      </c>
      <c r="F1600" s="84">
        <v>0</v>
      </c>
    </row>
    <row r="1601" spans="1:6" x14ac:dyDescent="0.2">
      <c r="A1601" s="65">
        <v>0</v>
      </c>
      <c r="B1601" s="66">
        <v>0</v>
      </c>
      <c r="C1601" s="99"/>
      <c r="D1601" s="81"/>
      <c r="E1601" s="83">
        <v>0</v>
      </c>
      <c r="F1601" s="84">
        <v>0</v>
      </c>
    </row>
    <row r="1602" spans="1:6" ht="15" x14ac:dyDescent="0.25">
      <c r="A1602" s="72"/>
      <c r="B1602" s="73"/>
      <c r="C1602" s="408" t="s">
        <v>176</v>
      </c>
      <c r="D1602" s="408"/>
      <c r="E1602" s="409"/>
      <c r="F1602" s="74">
        <v>0</v>
      </c>
    </row>
    <row r="1603" spans="1:6" ht="15" thickBot="1" x14ac:dyDescent="0.25">
      <c r="A1603" s="75"/>
      <c r="B1603" s="76"/>
      <c r="C1603" s="76"/>
      <c r="D1603" s="77"/>
      <c r="E1603" s="78"/>
      <c r="F1603" s="79"/>
    </row>
    <row r="1604" spans="1:6" ht="15.75" thickBot="1" x14ac:dyDescent="0.3">
      <c r="A1604" s="100" t="s">
        <v>177</v>
      </c>
      <c r="B1604" s="101"/>
      <c r="C1604" s="101"/>
      <c r="D1604" s="101"/>
      <c r="E1604" s="102"/>
      <c r="F1604" s="103">
        <f>+F1582+F1591+F1597</f>
        <v>159351.84612341269</v>
      </c>
    </row>
    <row r="1605" spans="1:6" ht="15" x14ac:dyDescent="0.25">
      <c r="A1605" s="104" t="s">
        <v>178</v>
      </c>
      <c r="B1605" s="105"/>
      <c r="C1605" s="105"/>
      <c r="D1605" s="105"/>
      <c r="E1605" s="105"/>
      <c r="F1605" s="106" t="s">
        <v>179</v>
      </c>
    </row>
    <row r="1606" spans="1:6" x14ac:dyDescent="0.2">
      <c r="A1606" s="399" t="s">
        <v>158</v>
      </c>
      <c r="B1606" s="400"/>
      <c r="C1606" s="400"/>
      <c r="D1606" s="400"/>
      <c r="E1606" s="107" t="s">
        <v>144</v>
      </c>
      <c r="F1606" s="108"/>
    </row>
    <row r="1607" spans="1:6" x14ac:dyDescent="0.2">
      <c r="A1607" s="399" t="s">
        <v>180</v>
      </c>
      <c r="B1607" s="400"/>
      <c r="C1607" s="400"/>
      <c r="D1607" s="400"/>
      <c r="E1607" s="109">
        <v>0.23</v>
      </c>
      <c r="F1607" s="108">
        <f>+E1607*F1604</f>
        <v>36650.924608384921</v>
      </c>
    </row>
    <row r="1608" spans="1:6" x14ac:dyDescent="0.2">
      <c r="A1608" s="399" t="s">
        <v>181</v>
      </c>
      <c r="B1608" s="400"/>
      <c r="C1608" s="400"/>
      <c r="D1608" s="400"/>
      <c r="E1608" s="109">
        <v>0.02</v>
      </c>
      <c r="F1608" s="108">
        <f>+E1608*F1604</f>
        <v>3187.036922468254</v>
      </c>
    </row>
    <row r="1609" spans="1:6" x14ac:dyDescent="0.2">
      <c r="A1609" s="399" t="s">
        <v>182</v>
      </c>
      <c r="B1609" s="400"/>
      <c r="C1609" s="400"/>
      <c r="D1609" s="400"/>
      <c r="E1609" s="109">
        <v>0.05</v>
      </c>
      <c r="F1609" s="108">
        <f>+E1609*F1604</f>
        <v>7967.5923061706344</v>
      </c>
    </row>
    <row r="1610" spans="1:6" x14ac:dyDescent="0.2">
      <c r="A1610" s="110" t="s">
        <v>183</v>
      </c>
      <c r="B1610" s="111"/>
      <c r="C1610" s="111"/>
      <c r="D1610" s="111"/>
      <c r="E1610" s="109"/>
      <c r="F1610" s="108">
        <v>0</v>
      </c>
    </row>
    <row r="1611" spans="1:6" ht="15" x14ac:dyDescent="0.2">
      <c r="A1611" s="112"/>
      <c r="B1611" s="113"/>
      <c r="C1611" s="113"/>
      <c r="D1611" s="113"/>
      <c r="E1611" s="114" t="s">
        <v>184</v>
      </c>
      <c r="F1611" s="115">
        <f>+F1607+F1608+F1609</f>
        <v>47805.553837023806</v>
      </c>
    </row>
    <row r="1612" spans="1:6" ht="15.75" thickBot="1" x14ac:dyDescent="0.3">
      <c r="A1612" s="401" t="s">
        <v>185</v>
      </c>
      <c r="B1612" s="402"/>
      <c r="C1612" s="402"/>
      <c r="D1612" s="402"/>
      <c r="E1612" s="402"/>
      <c r="F1612" s="116">
        <f>+F1604+F1611</f>
        <v>207157.39996043651</v>
      </c>
    </row>
    <row r="1613" spans="1:6" x14ac:dyDescent="0.2">
      <c r="A1613" s="41" t="s">
        <v>153</v>
      </c>
      <c r="B1613" s="117" t="s">
        <v>65</v>
      </c>
      <c r="C1613" s="43"/>
      <c r="D1613" s="44"/>
      <c r="E1613" s="45"/>
      <c r="F1613" s="46"/>
    </row>
    <row r="1614" spans="1:6" x14ac:dyDescent="0.2">
      <c r="A1614" s="48" t="s">
        <v>154</v>
      </c>
      <c r="B1614" s="403" t="s">
        <v>72</v>
      </c>
      <c r="C1614" s="404"/>
      <c r="D1614" s="404"/>
      <c r="E1614" s="404"/>
      <c r="F1614" s="405"/>
    </row>
    <row r="1615" spans="1:6" ht="15" thickBot="1" x14ac:dyDescent="0.25">
      <c r="A1615" s="50" t="s">
        <v>156</v>
      </c>
      <c r="B1615" s="51" t="s">
        <v>15</v>
      </c>
      <c r="C1615" s="52"/>
      <c r="D1615" s="53"/>
      <c r="E1615" s="52"/>
      <c r="F1615" s="54"/>
    </row>
    <row r="1616" spans="1:6" x14ac:dyDescent="0.2">
      <c r="A1616" s="55" t="s">
        <v>157</v>
      </c>
      <c r="B1616" s="56"/>
      <c r="C1616" s="57"/>
      <c r="D1616" s="58"/>
      <c r="E1616" s="59"/>
      <c r="F1616" s="60"/>
    </row>
    <row r="1617" spans="1:6" x14ac:dyDescent="0.2">
      <c r="A1617" s="61" t="s">
        <v>158</v>
      </c>
      <c r="B1617" s="62" t="s">
        <v>159</v>
      </c>
      <c r="C1617" s="406" t="s">
        <v>160</v>
      </c>
      <c r="D1617" s="407"/>
      <c r="E1617" s="63" t="s">
        <v>161</v>
      </c>
      <c r="F1617" s="64" t="s">
        <v>162</v>
      </c>
    </row>
    <row r="1618" spans="1:6" x14ac:dyDescent="0.2">
      <c r="A1618" s="65" t="s">
        <v>193</v>
      </c>
      <c r="B1618" s="66" t="s">
        <v>189</v>
      </c>
      <c r="C1618" s="67">
        <f>+Lista_prec_base!C35</f>
        <v>8496</v>
      </c>
      <c r="D1618" s="68"/>
      <c r="E1618" s="69">
        <v>0.5</v>
      </c>
      <c r="F1618" s="70">
        <f>+C1618/E1618</f>
        <v>16992</v>
      </c>
    </row>
    <row r="1619" spans="1:6" x14ac:dyDescent="0.2">
      <c r="A1619" s="65"/>
      <c r="B1619" s="66"/>
      <c r="C1619" s="67"/>
      <c r="D1619" s="68"/>
      <c r="E1619" s="69"/>
      <c r="F1619" s="70"/>
    </row>
    <row r="1620" spans="1:6" x14ac:dyDescent="0.2">
      <c r="A1620" s="65">
        <v>0</v>
      </c>
      <c r="B1620" s="66">
        <v>0</v>
      </c>
      <c r="C1620" s="67">
        <v>0</v>
      </c>
      <c r="D1620" s="68"/>
      <c r="E1620" s="71"/>
      <c r="F1620" s="70">
        <v>0</v>
      </c>
    </row>
    <row r="1621" spans="1:6" x14ac:dyDescent="0.2">
      <c r="A1621" s="65">
        <v>0</v>
      </c>
      <c r="B1621" s="66">
        <v>0</v>
      </c>
      <c r="C1621" s="67">
        <v>0</v>
      </c>
      <c r="D1621" s="68"/>
      <c r="E1621" s="71"/>
      <c r="F1621" s="70">
        <v>0</v>
      </c>
    </row>
    <row r="1622" spans="1:6" ht="15" x14ac:dyDescent="0.25">
      <c r="A1622" s="72"/>
      <c r="B1622" s="73"/>
      <c r="C1622" s="408" t="s">
        <v>163</v>
      </c>
      <c r="D1622" s="408"/>
      <c r="E1622" s="409"/>
      <c r="F1622" s="74">
        <f>SUM(F1618:F1621)</f>
        <v>16992</v>
      </c>
    </row>
    <row r="1623" spans="1:6" x14ac:dyDescent="0.2">
      <c r="A1623" s="75" t="s">
        <v>164</v>
      </c>
      <c r="B1623" s="76"/>
      <c r="C1623" s="76"/>
      <c r="D1623" s="77"/>
      <c r="E1623" s="78"/>
      <c r="F1623" s="79"/>
    </row>
    <row r="1624" spans="1:6" x14ac:dyDescent="0.2">
      <c r="A1624" s="61" t="s">
        <v>158</v>
      </c>
      <c r="B1624" s="62" t="s">
        <v>159</v>
      </c>
      <c r="C1624" s="406" t="s">
        <v>7</v>
      </c>
      <c r="D1624" s="407"/>
      <c r="E1624" s="63" t="s">
        <v>165</v>
      </c>
      <c r="F1624" s="64" t="s">
        <v>162</v>
      </c>
    </row>
    <row r="1625" spans="1:6" x14ac:dyDescent="0.2">
      <c r="A1625" s="85"/>
      <c r="B1625" s="66"/>
      <c r="C1625" s="81"/>
      <c r="D1625" s="82"/>
      <c r="E1625" s="83"/>
      <c r="F1625" s="84"/>
    </row>
    <row r="1626" spans="1:6" x14ac:dyDescent="0.2">
      <c r="A1626" s="65"/>
      <c r="B1626" s="66"/>
      <c r="C1626" s="81"/>
      <c r="D1626" s="82"/>
      <c r="E1626" s="83"/>
      <c r="F1626" s="84"/>
    </row>
    <row r="1627" spans="1:6" x14ac:dyDescent="0.2">
      <c r="A1627" s="65"/>
      <c r="B1627" s="66"/>
      <c r="C1627" s="121"/>
      <c r="D1627" s="82"/>
      <c r="E1627" s="83"/>
      <c r="F1627" s="84"/>
    </row>
    <row r="1628" spans="1:6" x14ac:dyDescent="0.2">
      <c r="A1628" s="65"/>
      <c r="B1628" s="66"/>
      <c r="C1628" s="81"/>
      <c r="D1628" s="82"/>
      <c r="E1628" s="83"/>
      <c r="F1628" s="84"/>
    </row>
    <row r="1629" spans="1:6" x14ac:dyDescent="0.2">
      <c r="A1629" s="65"/>
      <c r="B1629" s="66"/>
      <c r="C1629" s="81"/>
      <c r="D1629" s="82"/>
      <c r="E1629" s="83"/>
      <c r="F1629" s="84"/>
    </row>
    <row r="1630" spans="1:6" x14ac:dyDescent="0.2">
      <c r="A1630" s="65"/>
      <c r="B1630" s="66"/>
      <c r="C1630" s="81"/>
      <c r="D1630" s="82"/>
      <c r="E1630" s="83"/>
      <c r="F1630" s="84"/>
    </row>
    <row r="1631" spans="1:6" ht="15" x14ac:dyDescent="0.25">
      <c r="A1631" s="72"/>
      <c r="B1631" s="73"/>
      <c r="C1631" s="408" t="s">
        <v>167</v>
      </c>
      <c r="D1631" s="408"/>
      <c r="E1631" s="409"/>
      <c r="F1631" s="74">
        <f>SUM(F1625:F1630)</f>
        <v>0</v>
      </c>
    </row>
    <row r="1632" spans="1:6" x14ac:dyDescent="0.2">
      <c r="A1632" s="72" t="s">
        <v>168</v>
      </c>
      <c r="B1632" s="73"/>
      <c r="C1632" s="73"/>
      <c r="D1632" s="88"/>
      <c r="E1632" s="89"/>
      <c r="F1632" s="90"/>
    </row>
    <row r="1633" spans="1:6" x14ac:dyDescent="0.2">
      <c r="A1633" s="61" t="s">
        <v>158</v>
      </c>
      <c r="B1633" s="62" t="s">
        <v>159</v>
      </c>
      <c r="C1633" s="62" t="s">
        <v>169</v>
      </c>
      <c r="D1633" s="91" t="s">
        <v>170</v>
      </c>
      <c r="E1633" s="63"/>
      <c r="F1633" s="64" t="s">
        <v>171</v>
      </c>
    </row>
    <row r="1634" spans="1:6" x14ac:dyDescent="0.2">
      <c r="A1634" s="65" t="s">
        <v>190</v>
      </c>
      <c r="B1634" s="92" t="s">
        <v>191</v>
      </c>
      <c r="C1634" s="93">
        <v>1.65</v>
      </c>
      <c r="D1634" s="94">
        <f>+Lista_prec_base!C43</f>
        <v>67000</v>
      </c>
      <c r="E1634" s="95">
        <v>0.64501979362335793</v>
      </c>
      <c r="F1634" s="70">
        <f>+C1634*D1634/E1634</f>
        <v>171390.08925445893</v>
      </c>
    </row>
    <row r="1635" spans="1:6" x14ac:dyDescent="0.2">
      <c r="A1635" s="65">
        <v>0</v>
      </c>
      <c r="B1635" s="92">
        <v>0</v>
      </c>
      <c r="C1635" s="93"/>
      <c r="D1635" s="94">
        <v>0</v>
      </c>
      <c r="E1635" s="96"/>
      <c r="F1635" s="97">
        <v>0</v>
      </c>
    </row>
    <row r="1636" spans="1:6" x14ac:dyDescent="0.2">
      <c r="A1636" s="65">
        <v>0</v>
      </c>
      <c r="B1636" s="92">
        <v>0</v>
      </c>
      <c r="C1636" s="93"/>
      <c r="D1636" s="94">
        <v>0</v>
      </c>
      <c r="E1636" s="96"/>
      <c r="F1636" s="97">
        <v>0</v>
      </c>
    </row>
    <row r="1637" spans="1:6" ht="15" x14ac:dyDescent="0.25">
      <c r="A1637" s="72"/>
      <c r="B1637" s="73"/>
      <c r="C1637" s="408" t="s">
        <v>172</v>
      </c>
      <c r="D1637" s="408"/>
      <c r="E1637" s="409"/>
      <c r="F1637" s="74">
        <f>+F1634</f>
        <v>171390.08925445893</v>
      </c>
    </row>
    <row r="1638" spans="1:6" x14ac:dyDescent="0.2">
      <c r="A1638" s="75" t="s">
        <v>173</v>
      </c>
      <c r="B1638" s="76"/>
      <c r="C1638" s="76"/>
      <c r="D1638" s="77"/>
      <c r="E1638" s="78"/>
      <c r="F1638" s="79"/>
    </row>
    <row r="1639" spans="1:6" x14ac:dyDescent="0.2">
      <c r="A1639" s="61" t="s">
        <v>158</v>
      </c>
      <c r="B1639" s="62" t="s">
        <v>159</v>
      </c>
      <c r="C1639" s="62" t="s">
        <v>174</v>
      </c>
      <c r="D1639" s="98" t="s">
        <v>175</v>
      </c>
      <c r="E1639" s="63" t="s">
        <v>165</v>
      </c>
      <c r="F1639" s="64" t="s">
        <v>162</v>
      </c>
    </row>
    <row r="1640" spans="1:6" x14ac:dyDescent="0.2">
      <c r="A1640" s="65">
        <v>0</v>
      </c>
      <c r="B1640" s="66">
        <v>0</v>
      </c>
      <c r="C1640" s="99"/>
      <c r="D1640" s="81"/>
      <c r="E1640" s="83">
        <v>0</v>
      </c>
      <c r="F1640" s="84">
        <v>0</v>
      </c>
    </row>
    <row r="1641" spans="1:6" x14ac:dyDescent="0.2">
      <c r="A1641" s="65">
        <v>0</v>
      </c>
      <c r="B1641" s="66">
        <v>0</v>
      </c>
      <c r="C1641" s="99"/>
      <c r="D1641" s="81"/>
      <c r="E1641" s="83">
        <v>0</v>
      </c>
      <c r="F1641" s="84">
        <v>0</v>
      </c>
    </row>
    <row r="1642" spans="1:6" ht="15" x14ac:dyDescent="0.25">
      <c r="A1642" s="72"/>
      <c r="B1642" s="73"/>
      <c r="C1642" s="408" t="s">
        <v>176</v>
      </c>
      <c r="D1642" s="408"/>
      <c r="E1642" s="409"/>
      <c r="F1642" s="74">
        <v>0</v>
      </c>
    </row>
    <row r="1643" spans="1:6" ht="15" thickBot="1" x14ac:dyDescent="0.25">
      <c r="A1643" s="75"/>
      <c r="B1643" s="76"/>
      <c r="C1643" s="76"/>
      <c r="D1643" s="77"/>
      <c r="E1643" s="78"/>
      <c r="F1643" s="79"/>
    </row>
    <row r="1644" spans="1:6" ht="15.75" thickBot="1" x14ac:dyDescent="0.3">
      <c r="A1644" s="100" t="s">
        <v>177</v>
      </c>
      <c r="B1644" s="101"/>
      <c r="C1644" s="101"/>
      <c r="D1644" s="101"/>
      <c r="E1644" s="102"/>
      <c r="F1644" s="103">
        <f>+F1622+F1631+F1637</f>
        <v>188382.08925445893</v>
      </c>
    </row>
    <row r="1645" spans="1:6" ht="15" x14ac:dyDescent="0.25">
      <c r="A1645" s="104" t="s">
        <v>178</v>
      </c>
      <c r="B1645" s="105"/>
      <c r="C1645" s="105"/>
      <c r="D1645" s="105"/>
      <c r="E1645" s="105"/>
      <c r="F1645" s="106" t="s">
        <v>179</v>
      </c>
    </row>
    <row r="1646" spans="1:6" x14ac:dyDescent="0.2">
      <c r="A1646" s="399" t="s">
        <v>158</v>
      </c>
      <c r="B1646" s="400"/>
      <c r="C1646" s="400"/>
      <c r="D1646" s="400"/>
      <c r="E1646" s="107" t="s">
        <v>144</v>
      </c>
      <c r="F1646" s="108"/>
    </row>
    <row r="1647" spans="1:6" x14ac:dyDescent="0.2">
      <c r="A1647" s="399" t="s">
        <v>180</v>
      </c>
      <c r="B1647" s="400"/>
      <c r="C1647" s="400"/>
      <c r="D1647" s="400"/>
      <c r="E1647" s="109">
        <v>0.23</v>
      </c>
      <c r="F1647" s="108">
        <f>+E1647*F1644</f>
        <v>43327.880528525558</v>
      </c>
    </row>
    <row r="1648" spans="1:6" x14ac:dyDescent="0.2">
      <c r="A1648" s="399" t="s">
        <v>181</v>
      </c>
      <c r="B1648" s="400"/>
      <c r="C1648" s="400"/>
      <c r="D1648" s="400"/>
      <c r="E1648" s="109">
        <v>0.02</v>
      </c>
      <c r="F1648" s="108">
        <f>+E1648*F1644</f>
        <v>3767.6417850891785</v>
      </c>
    </row>
    <row r="1649" spans="1:6" x14ac:dyDescent="0.2">
      <c r="A1649" s="399" t="s">
        <v>182</v>
      </c>
      <c r="B1649" s="400"/>
      <c r="C1649" s="400"/>
      <c r="D1649" s="400"/>
      <c r="E1649" s="109">
        <v>0.05</v>
      </c>
      <c r="F1649" s="108">
        <f>+E1649*F1644</f>
        <v>9419.1044627229476</v>
      </c>
    </row>
    <row r="1650" spans="1:6" x14ac:dyDescent="0.2">
      <c r="A1650" s="110" t="s">
        <v>183</v>
      </c>
      <c r="B1650" s="111"/>
      <c r="C1650" s="111"/>
      <c r="D1650" s="111"/>
      <c r="E1650" s="109"/>
      <c r="F1650" s="108">
        <v>0</v>
      </c>
    </row>
    <row r="1651" spans="1:6" ht="15" x14ac:dyDescent="0.2">
      <c r="A1651" s="112"/>
      <c r="B1651" s="113"/>
      <c r="C1651" s="113"/>
      <c r="D1651" s="113"/>
      <c r="E1651" s="114" t="s">
        <v>184</v>
      </c>
      <c r="F1651" s="115">
        <f>+F1647+F1648+F1649</f>
        <v>56514.626776337689</v>
      </c>
    </row>
    <row r="1652" spans="1:6" ht="15.75" thickBot="1" x14ac:dyDescent="0.3">
      <c r="A1652" s="401" t="s">
        <v>185</v>
      </c>
      <c r="B1652" s="402"/>
      <c r="C1652" s="402"/>
      <c r="D1652" s="402"/>
      <c r="E1652" s="402"/>
      <c r="F1652" s="116">
        <f>+F1644+F1651</f>
        <v>244896.71603079661</v>
      </c>
    </row>
    <row r="1653" spans="1:6" x14ac:dyDescent="0.2">
      <c r="A1653" s="41" t="s">
        <v>153</v>
      </c>
      <c r="B1653" s="117" t="s">
        <v>66</v>
      </c>
      <c r="C1653" s="43"/>
      <c r="D1653" s="44"/>
      <c r="E1653" s="45"/>
      <c r="F1653" s="46"/>
    </row>
    <row r="1654" spans="1:6" x14ac:dyDescent="0.2">
      <c r="A1654" s="48" t="s">
        <v>154</v>
      </c>
      <c r="B1654" s="403" t="s">
        <v>73</v>
      </c>
      <c r="C1654" s="404"/>
      <c r="D1654" s="404"/>
      <c r="E1654" s="404"/>
      <c r="F1654" s="405"/>
    </row>
    <row r="1655" spans="1:6" ht="15" thickBot="1" x14ac:dyDescent="0.25">
      <c r="A1655" s="50" t="s">
        <v>156</v>
      </c>
      <c r="B1655" s="51" t="s">
        <v>15</v>
      </c>
      <c r="C1655" s="52"/>
      <c r="D1655" s="53"/>
      <c r="E1655" s="52"/>
      <c r="F1655" s="54"/>
    </row>
    <row r="1656" spans="1:6" x14ac:dyDescent="0.2">
      <c r="A1656" s="55" t="s">
        <v>157</v>
      </c>
      <c r="B1656" s="56"/>
      <c r="C1656" s="57"/>
      <c r="D1656" s="58"/>
      <c r="E1656" s="59"/>
      <c r="F1656" s="60"/>
    </row>
    <row r="1657" spans="1:6" x14ac:dyDescent="0.2">
      <c r="A1657" s="61" t="s">
        <v>158</v>
      </c>
      <c r="B1657" s="62" t="s">
        <v>159</v>
      </c>
      <c r="C1657" s="406" t="s">
        <v>160</v>
      </c>
      <c r="D1657" s="407"/>
      <c r="E1657" s="63" t="s">
        <v>161</v>
      </c>
      <c r="F1657" s="64" t="s">
        <v>162</v>
      </c>
    </row>
    <row r="1658" spans="1:6" x14ac:dyDescent="0.2">
      <c r="A1658" s="65" t="s">
        <v>193</v>
      </c>
      <c r="B1658" s="66" t="s">
        <v>189</v>
      </c>
      <c r="C1658" s="67">
        <f>+Lista_prec_base!C35</f>
        <v>8496</v>
      </c>
      <c r="D1658" s="68"/>
      <c r="E1658" s="69">
        <v>0.5</v>
      </c>
      <c r="F1658" s="70">
        <f>+C1658/E1658</f>
        <v>16992</v>
      </c>
    </row>
    <row r="1659" spans="1:6" x14ac:dyDescent="0.2">
      <c r="A1659" s="65"/>
      <c r="B1659" s="66"/>
      <c r="C1659" s="67"/>
      <c r="D1659" s="68"/>
      <c r="E1659" s="69"/>
      <c r="F1659" s="70"/>
    </row>
    <row r="1660" spans="1:6" x14ac:dyDescent="0.2">
      <c r="A1660" s="65">
        <v>0</v>
      </c>
      <c r="B1660" s="66">
        <v>0</v>
      </c>
      <c r="C1660" s="67">
        <v>0</v>
      </c>
      <c r="D1660" s="68"/>
      <c r="E1660" s="71"/>
      <c r="F1660" s="70">
        <v>0</v>
      </c>
    </row>
    <row r="1661" spans="1:6" x14ac:dyDescent="0.2">
      <c r="A1661" s="65">
        <v>0</v>
      </c>
      <c r="B1661" s="66">
        <v>0</v>
      </c>
      <c r="C1661" s="67">
        <v>0</v>
      </c>
      <c r="D1661" s="68"/>
      <c r="E1661" s="71"/>
      <c r="F1661" s="70">
        <v>0</v>
      </c>
    </row>
    <row r="1662" spans="1:6" ht="15" x14ac:dyDescent="0.25">
      <c r="A1662" s="72"/>
      <c r="B1662" s="73"/>
      <c r="C1662" s="408" t="s">
        <v>163</v>
      </c>
      <c r="D1662" s="408"/>
      <c r="E1662" s="409"/>
      <c r="F1662" s="74">
        <f>SUM(F1658:F1661)</f>
        <v>16992</v>
      </c>
    </row>
    <row r="1663" spans="1:6" x14ac:dyDescent="0.2">
      <c r="A1663" s="75" t="s">
        <v>164</v>
      </c>
      <c r="B1663" s="76"/>
      <c r="C1663" s="76"/>
      <c r="D1663" s="77"/>
      <c r="E1663" s="78"/>
      <c r="F1663" s="79"/>
    </row>
    <row r="1664" spans="1:6" x14ac:dyDescent="0.2">
      <c r="A1664" s="61" t="s">
        <v>158</v>
      </c>
      <c r="B1664" s="62" t="s">
        <v>159</v>
      </c>
      <c r="C1664" s="406" t="s">
        <v>7</v>
      </c>
      <c r="D1664" s="407"/>
      <c r="E1664" s="63" t="s">
        <v>165</v>
      </c>
      <c r="F1664" s="64" t="s">
        <v>162</v>
      </c>
    </row>
    <row r="1665" spans="1:6" x14ac:dyDescent="0.2">
      <c r="A1665" s="85"/>
      <c r="B1665" s="66"/>
      <c r="C1665" s="81"/>
      <c r="D1665" s="82"/>
      <c r="E1665" s="83"/>
      <c r="F1665" s="84"/>
    </row>
    <row r="1666" spans="1:6" x14ac:dyDescent="0.2">
      <c r="A1666" s="65"/>
      <c r="B1666" s="66"/>
      <c r="C1666" s="81"/>
      <c r="D1666" s="82"/>
      <c r="E1666" s="83"/>
      <c r="F1666" s="84"/>
    </row>
    <row r="1667" spans="1:6" x14ac:dyDescent="0.2">
      <c r="A1667" s="65"/>
      <c r="B1667" s="66"/>
      <c r="C1667" s="121"/>
      <c r="D1667" s="82"/>
      <c r="E1667" s="83"/>
      <c r="F1667" s="84"/>
    </row>
    <row r="1668" spans="1:6" x14ac:dyDescent="0.2">
      <c r="A1668" s="65"/>
      <c r="B1668" s="66"/>
      <c r="C1668" s="81"/>
      <c r="D1668" s="82"/>
      <c r="E1668" s="83"/>
      <c r="F1668" s="84"/>
    </row>
    <row r="1669" spans="1:6" x14ac:dyDescent="0.2">
      <c r="A1669" s="65"/>
      <c r="B1669" s="66"/>
      <c r="C1669" s="81"/>
      <c r="D1669" s="82"/>
      <c r="E1669" s="83"/>
      <c r="F1669" s="84"/>
    </row>
    <row r="1670" spans="1:6" x14ac:dyDescent="0.2">
      <c r="A1670" s="65"/>
      <c r="B1670" s="66"/>
      <c r="C1670" s="81"/>
      <c r="D1670" s="82"/>
      <c r="E1670" s="83"/>
      <c r="F1670" s="84"/>
    </row>
    <row r="1671" spans="1:6" ht="15" x14ac:dyDescent="0.25">
      <c r="A1671" s="72"/>
      <c r="B1671" s="73"/>
      <c r="C1671" s="408" t="s">
        <v>167</v>
      </c>
      <c r="D1671" s="408"/>
      <c r="E1671" s="409"/>
      <c r="F1671" s="74">
        <f>SUM(F1665:F1670)</f>
        <v>0</v>
      </c>
    </row>
    <row r="1672" spans="1:6" x14ac:dyDescent="0.2">
      <c r="A1672" s="72" t="s">
        <v>168</v>
      </c>
      <c r="B1672" s="73"/>
      <c r="C1672" s="73"/>
      <c r="D1672" s="88"/>
      <c r="E1672" s="89"/>
      <c r="F1672" s="90"/>
    </row>
    <row r="1673" spans="1:6" x14ac:dyDescent="0.2">
      <c r="A1673" s="61" t="s">
        <v>158</v>
      </c>
      <c r="B1673" s="62" t="s">
        <v>159</v>
      </c>
      <c r="C1673" s="62" t="s">
        <v>169</v>
      </c>
      <c r="D1673" s="91" t="s">
        <v>170</v>
      </c>
      <c r="E1673" s="63"/>
      <c r="F1673" s="64" t="s">
        <v>171</v>
      </c>
    </row>
    <row r="1674" spans="1:6" x14ac:dyDescent="0.2">
      <c r="A1674" s="65" t="s">
        <v>190</v>
      </c>
      <c r="B1674" s="92" t="s">
        <v>191</v>
      </c>
      <c r="C1674" s="93">
        <v>1.65</v>
      </c>
      <c r="D1674" s="94">
        <f>+Lista_prec_base!C43</f>
        <v>67000</v>
      </c>
      <c r="E1674" s="95">
        <v>0.51433802097321923</v>
      </c>
      <c r="F1674" s="70">
        <f>+C1674*D1674/E1674</f>
        <v>214936.47269322941</v>
      </c>
    </row>
    <row r="1675" spans="1:6" x14ac:dyDescent="0.2">
      <c r="A1675" s="65">
        <v>0</v>
      </c>
      <c r="B1675" s="92">
        <v>0</v>
      </c>
      <c r="C1675" s="93"/>
      <c r="D1675" s="94">
        <v>0</v>
      </c>
      <c r="E1675" s="96"/>
      <c r="F1675" s="97">
        <v>0</v>
      </c>
    </row>
    <row r="1676" spans="1:6" x14ac:dyDescent="0.2">
      <c r="A1676" s="65">
        <v>0</v>
      </c>
      <c r="B1676" s="92">
        <v>0</v>
      </c>
      <c r="C1676" s="93"/>
      <c r="D1676" s="94">
        <v>0</v>
      </c>
      <c r="E1676" s="96"/>
      <c r="F1676" s="97">
        <v>0</v>
      </c>
    </row>
    <row r="1677" spans="1:6" ht="15" x14ac:dyDescent="0.25">
      <c r="A1677" s="72"/>
      <c r="B1677" s="73"/>
      <c r="C1677" s="408" t="s">
        <v>172</v>
      </c>
      <c r="D1677" s="408"/>
      <c r="E1677" s="409"/>
      <c r="F1677" s="74">
        <f>+F1674</f>
        <v>214936.47269322941</v>
      </c>
    </row>
    <row r="1678" spans="1:6" x14ac:dyDescent="0.2">
      <c r="A1678" s="75" t="s">
        <v>173</v>
      </c>
      <c r="B1678" s="76"/>
      <c r="C1678" s="76"/>
      <c r="D1678" s="77"/>
      <c r="E1678" s="78"/>
      <c r="F1678" s="79"/>
    </row>
    <row r="1679" spans="1:6" x14ac:dyDescent="0.2">
      <c r="A1679" s="61" t="s">
        <v>158</v>
      </c>
      <c r="B1679" s="62" t="s">
        <v>159</v>
      </c>
      <c r="C1679" s="62" t="s">
        <v>174</v>
      </c>
      <c r="D1679" s="98" t="s">
        <v>175</v>
      </c>
      <c r="E1679" s="63" t="s">
        <v>165</v>
      </c>
      <c r="F1679" s="64" t="s">
        <v>162</v>
      </c>
    </row>
    <row r="1680" spans="1:6" x14ac:dyDescent="0.2">
      <c r="A1680" s="65">
        <v>0</v>
      </c>
      <c r="B1680" s="66">
        <v>0</v>
      </c>
      <c r="C1680" s="99"/>
      <c r="D1680" s="81"/>
      <c r="E1680" s="83">
        <v>0</v>
      </c>
      <c r="F1680" s="84">
        <v>0</v>
      </c>
    </row>
    <row r="1681" spans="1:6" x14ac:dyDescent="0.2">
      <c r="A1681" s="65">
        <v>0</v>
      </c>
      <c r="B1681" s="66">
        <v>0</v>
      </c>
      <c r="C1681" s="99"/>
      <c r="D1681" s="81"/>
      <c r="E1681" s="83">
        <v>0</v>
      </c>
      <c r="F1681" s="84">
        <v>0</v>
      </c>
    </row>
    <row r="1682" spans="1:6" ht="15" x14ac:dyDescent="0.25">
      <c r="A1682" s="72"/>
      <c r="B1682" s="73"/>
      <c r="C1682" s="408" t="s">
        <v>176</v>
      </c>
      <c r="D1682" s="408"/>
      <c r="E1682" s="409"/>
      <c r="F1682" s="74">
        <v>0</v>
      </c>
    </row>
    <row r="1683" spans="1:6" ht="15" thickBot="1" x14ac:dyDescent="0.25">
      <c r="A1683" s="75"/>
      <c r="B1683" s="76"/>
      <c r="C1683" s="76"/>
      <c r="D1683" s="77"/>
      <c r="E1683" s="78"/>
      <c r="F1683" s="79"/>
    </row>
    <row r="1684" spans="1:6" ht="15.75" thickBot="1" x14ac:dyDescent="0.3">
      <c r="A1684" s="100" t="s">
        <v>177</v>
      </c>
      <c r="B1684" s="101"/>
      <c r="C1684" s="101"/>
      <c r="D1684" s="101"/>
      <c r="E1684" s="102"/>
      <c r="F1684" s="103">
        <f>+F1662+F1671+F1677</f>
        <v>231928.47269322941</v>
      </c>
    </row>
    <row r="1685" spans="1:6" ht="15" x14ac:dyDescent="0.25">
      <c r="A1685" s="104" t="s">
        <v>178</v>
      </c>
      <c r="B1685" s="105"/>
      <c r="C1685" s="105"/>
      <c r="D1685" s="105"/>
      <c r="E1685" s="105"/>
      <c r="F1685" s="106" t="s">
        <v>179</v>
      </c>
    </row>
    <row r="1686" spans="1:6" x14ac:dyDescent="0.2">
      <c r="A1686" s="399" t="s">
        <v>158</v>
      </c>
      <c r="B1686" s="400"/>
      <c r="C1686" s="400"/>
      <c r="D1686" s="400"/>
      <c r="E1686" s="107" t="s">
        <v>144</v>
      </c>
      <c r="F1686" s="108"/>
    </row>
    <row r="1687" spans="1:6" x14ac:dyDescent="0.2">
      <c r="A1687" s="399" t="s">
        <v>180</v>
      </c>
      <c r="B1687" s="400"/>
      <c r="C1687" s="400"/>
      <c r="D1687" s="400"/>
      <c r="E1687" s="109">
        <v>0.23</v>
      </c>
      <c r="F1687" s="108">
        <f>+E1687*F1684</f>
        <v>53343.54871944277</v>
      </c>
    </row>
    <row r="1688" spans="1:6" x14ac:dyDescent="0.2">
      <c r="A1688" s="399" t="s">
        <v>181</v>
      </c>
      <c r="B1688" s="400"/>
      <c r="C1688" s="400"/>
      <c r="D1688" s="400"/>
      <c r="E1688" s="109">
        <v>0.02</v>
      </c>
      <c r="F1688" s="108">
        <f>+E1688*F1684</f>
        <v>4638.5694538645885</v>
      </c>
    </row>
    <row r="1689" spans="1:6" x14ac:dyDescent="0.2">
      <c r="A1689" s="399" t="s">
        <v>182</v>
      </c>
      <c r="B1689" s="400"/>
      <c r="C1689" s="400"/>
      <c r="D1689" s="400"/>
      <c r="E1689" s="109">
        <v>0.05</v>
      </c>
      <c r="F1689" s="108">
        <f>+E1689*F1684</f>
        <v>11596.423634661471</v>
      </c>
    </row>
    <row r="1690" spans="1:6" x14ac:dyDescent="0.2">
      <c r="A1690" s="110" t="s">
        <v>183</v>
      </c>
      <c r="B1690" s="111"/>
      <c r="C1690" s="111"/>
      <c r="D1690" s="111"/>
      <c r="E1690" s="109"/>
      <c r="F1690" s="108">
        <v>0</v>
      </c>
    </row>
    <row r="1691" spans="1:6" ht="15" x14ac:dyDescent="0.2">
      <c r="A1691" s="112"/>
      <c r="B1691" s="113"/>
      <c r="C1691" s="113"/>
      <c r="D1691" s="113"/>
      <c r="E1691" s="114" t="s">
        <v>184</v>
      </c>
      <c r="F1691" s="115">
        <f>+F1687+F1688+F1689</f>
        <v>69578.541807968839</v>
      </c>
    </row>
    <row r="1692" spans="1:6" ht="15.75" thickBot="1" x14ac:dyDescent="0.3">
      <c r="A1692" s="401" t="s">
        <v>185</v>
      </c>
      <c r="B1692" s="402"/>
      <c r="C1692" s="402"/>
      <c r="D1692" s="402"/>
      <c r="E1692" s="402"/>
      <c r="F1692" s="116">
        <f>+F1684+F1691</f>
        <v>301507.01450119825</v>
      </c>
    </row>
    <row r="1693" spans="1:6" x14ac:dyDescent="0.2">
      <c r="A1693" s="41" t="s">
        <v>153</v>
      </c>
      <c r="B1693" s="117" t="s">
        <v>67</v>
      </c>
      <c r="C1693" s="43"/>
      <c r="D1693" s="44"/>
      <c r="E1693" s="45"/>
      <c r="F1693" s="46"/>
    </row>
    <row r="1694" spans="1:6" x14ac:dyDescent="0.2">
      <c r="A1694" s="48" t="s">
        <v>154</v>
      </c>
      <c r="B1694" s="403" t="s">
        <v>74</v>
      </c>
      <c r="C1694" s="404"/>
      <c r="D1694" s="404"/>
      <c r="E1694" s="404"/>
      <c r="F1694" s="405"/>
    </row>
    <row r="1695" spans="1:6" ht="15" thickBot="1" x14ac:dyDescent="0.25">
      <c r="A1695" s="50" t="s">
        <v>156</v>
      </c>
      <c r="B1695" s="51" t="s">
        <v>15</v>
      </c>
      <c r="C1695" s="52"/>
      <c r="D1695" s="53"/>
      <c r="E1695" s="52"/>
      <c r="F1695" s="54"/>
    </row>
    <row r="1696" spans="1:6" x14ac:dyDescent="0.2">
      <c r="A1696" s="55" t="s">
        <v>157</v>
      </c>
      <c r="B1696" s="56"/>
      <c r="C1696" s="57"/>
      <c r="D1696" s="58"/>
      <c r="E1696" s="59"/>
      <c r="F1696" s="60"/>
    </row>
    <row r="1697" spans="1:6" x14ac:dyDescent="0.2">
      <c r="A1697" s="61" t="s">
        <v>158</v>
      </c>
      <c r="B1697" s="62" t="s">
        <v>159</v>
      </c>
      <c r="C1697" s="406" t="s">
        <v>160</v>
      </c>
      <c r="D1697" s="407"/>
      <c r="E1697" s="63" t="s">
        <v>161</v>
      </c>
      <c r="F1697" s="64" t="s">
        <v>162</v>
      </c>
    </row>
    <row r="1698" spans="1:6" x14ac:dyDescent="0.2">
      <c r="A1698" s="65" t="s">
        <v>193</v>
      </c>
      <c r="B1698" s="66" t="s">
        <v>189</v>
      </c>
      <c r="C1698" s="67">
        <f>+Lista_prec_base!C35</f>
        <v>8496</v>
      </c>
      <c r="D1698" s="68"/>
      <c r="E1698" s="69">
        <v>0.5</v>
      </c>
      <c r="F1698" s="70">
        <f>+C1698/E1698</f>
        <v>16992</v>
      </c>
    </row>
    <row r="1699" spans="1:6" x14ac:dyDescent="0.2">
      <c r="A1699" s="65"/>
      <c r="B1699" s="66"/>
      <c r="C1699" s="67"/>
      <c r="D1699" s="68"/>
      <c r="E1699" s="69"/>
      <c r="F1699" s="70"/>
    </row>
    <row r="1700" spans="1:6" x14ac:dyDescent="0.2">
      <c r="A1700" s="65">
        <v>0</v>
      </c>
      <c r="B1700" s="66">
        <v>0</v>
      </c>
      <c r="C1700" s="67">
        <v>0</v>
      </c>
      <c r="D1700" s="68"/>
      <c r="E1700" s="71"/>
      <c r="F1700" s="70">
        <v>0</v>
      </c>
    </row>
    <row r="1701" spans="1:6" x14ac:dyDescent="0.2">
      <c r="A1701" s="65">
        <v>0</v>
      </c>
      <c r="B1701" s="66">
        <v>0</v>
      </c>
      <c r="C1701" s="67">
        <v>0</v>
      </c>
      <c r="D1701" s="68"/>
      <c r="E1701" s="71"/>
      <c r="F1701" s="70">
        <v>0</v>
      </c>
    </row>
    <row r="1702" spans="1:6" ht="15" x14ac:dyDescent="0.25">
      <c r="A1702" s="72"/>
      <c r="B1702" s="73"/>
      <c r="C1702" s="408" t="s">
        <v>163</v>
      </c>
      <c r="D1702" s="408"/>
      <c r="E1702" s="409"/>
      <c r="F1702" s="74">
        <f>SUM(F1698:F1701)</f>
        <v>16992</v>
      </c>
    </row>
    <row r="1703" spans="1:6" x14ac:dyDescent="0.2">
      <c r="A1703" s="75" t="s">
        <v>164</v>
      </c>
      <c r="B1703" s="76"/>
      <c r="C1703" s="76"/>
      <c r="D1703" s="77"/>
      <c r="E1703" s="78"/>
      <c r="F1703" s="79"/>
    </row>
    <row r="1704" spans="1:6" x14ac:dyDescent="0.2">
      <c r="A1704" s="61" t="s">
        <v>158</v>
      </c>
      <c r="B1704" s="62" t="s">
        <v>159</v>
      </c>
      <c r="C1704" s="406" t="s">
        <v>7</v>
      </c>
      <c r="D1704" s="407"/>
      <c r="E1704" s="63" t="s">
        <v>165</v>
      </c>
      <c r="F1704" s="64" t="s">
        <v>162</v>
      </c>
    </row>
    <row r="1705" spans="1:6" x14ac:dyDescent="0.2">
      <c r="A1705" s="85"/>
      <c r="B1705" s="66"/>
      <c r="C1705" s="81"/>
      <c r="D1705" s="82"/>
      <c r="E1705" s="83"/>
      <c r="F1705" s="84"/>
    </row>
    <row r="1706" spans="1:6" x14ac:dyDescent="0.2">
      <c r="A1706" s="65"/>
      <c r="B1706" s="66"/>
      <c r="C1706" s="81"/>
      <c r="D1706" s="82"/>
      <c r="E1706" s="83"/>
      <c r="F1706" s="84"/>
    </row>
    <row r="1707" spans="1:6" x14ac:dyDescent="0.2">
      <c r="A1707" s="65"/>
      <c r="B1707" s="66"/>
      <c r="C1707" s="121"/>
      <c r="D1707" s="82"/>
      <c r="E1707" s="83"/>
      <c r="F1707" s="84"/>
    </row>
    <row r="1708" spans="1:6" x14ac:dyDescent="0.2">
      <c r="A1708" s="65"/>
      <c r="B1708" s="66"/>
      <c r="C1708" s="81"/>
      <c r="D1708" s="82"/>
      <c r="E1708" s="83"/>
      <c r="F1708" s="84"/>
    </row>
    <row r="1709" spans="1:6" x14ac:dyDescent="0.2">
      <c r="A1709" s="65"/>
      <c r="B1709" s="66"/>
      <c r="C1709" s="81"/>
      <c r="D1709" s="82"/>
      <c r="E1709" s="83"/>
      <c r="F1709" s="84"/>
    </row>
    <row r="1710" spans="1:6" x14ac:dyDescent="0.2">
      <c r="A1710" s="65"/>
      <c r="B1710" s="66"/>
      <c r="C1710" s="81"/>
      <c r="D1710" s="82"/>
      <c r="E1710" s="83"/>
      <c r="F1710" s="84"/>
    </row>
    <row r="1711" spans="1:6" ht="15" x14ac:dyDescent="0.25">
      <c r="A1711" s="72"/>
      <c r="B1711" s="73"/>
      <c r="C1711" s="408" t="s">
        <v>167</v>
      </c>
      <c r="D1711" s="408"/>
      <c r="E1711" s="409"/>
      <c r="F1711" s="74">
        <f>SUM(F1705:F1710)</f>
        <v>0</v>
      </c>
    </row>
    <row r="1712" spans="1:6" x14ac:dyDescent="0.2">
      <c r="A1712" s="72" t="s">
        <v>168</v>
      </c>
      <c r="B1712" s="73"/>
      <c r="C1712" s="73"/>
      <c r="D1712" s="88"/>
      <c r="E1712" s="89"/>
      <c r="F1712" s="90"/>
    </row>
    <row r="1713" spans="1:6" x14ac:dyDescent="0.2">
      <c r="A1713" s="61" t="s">
        <v>158</v>
      </c>
      <c r="B1713" s="62" t="s">
        <v>159</v>
      </c>
      <c r="C1713" s="62" t="s">
        <v>169</v>
      </c>
      <c r="D1713" s="91" t="s">
        <v>170</v>
      </c>
      <c r="E1713" s="63"/>
      <c r="F1713" s="64" t="s">
        <v>171</v>
      </c>
    </row>
    <row r="1714" spans="1:6" x14ac:dyDescent="0.2">
      <c r="A1714" s="65" t="s">
        <v>190</v>
      </c>
      <c r="B1714" s="92" t="s">
        <v>191</v>
      </c>
      <c r="C1714" s="93">
        <v>1.65</v>
      </c>
      <c r="D1714" s="94">
        <f>+Lista_prec_base!C43</f>
        <v>67000</v>
      </c>
      <c r="E1714" s="95">
        <v>0.36508949308667871</v>
      </c>
      <c r="F1714" s="70">
        <f>+C1714*D1714/E1714</f>
        <v>302802.46923938039</v>
      </c>
    </row>
    <row r="1715" spans="1:6" x14ac:dyDescent="0.2">
      <c r="A1715" s="65">
        <v>0</v>
      </c>
      <c r="B1715" s="92">
        <v>0</v>
      </c>
      <c r="C1715" s="93"/>
      <c r="D1715" s="94">
        <v>0</v>
      </c>
      <c r="E1715" s="96"/>
      <c r="F1715" s="97">
        <v>0</v>
      </c>
    </row>
    <row r="1716" spans="1:6" x14ac:dyDescent="0.2">
      <c r="A1716" s="65">
        <v>0</v>
      </c>
      <c r="B1716" s="92">
        <v>0</v>
      </c>
      <c r="C1716" s="93"/>
      <c r="D1716" s="94">
        <v>0</v>
      </c>
      <c r="E1716" s="96"/>
      <c r="F1716" s="97">
        <v>0</v>
      </c>
    </row>
    <row r="1717" spans="1:6" ht="15" x14ac:dyDescent="0.25">
      <c r="A1717" s="72"/>
      <c r="B1717" s="73"/>
      <c r="C1717" s="408" t="s">
        <v>172</v>
      </c>
      <c r="D1717" s="408"/>
      <c r="E1717" s="409"/>
      <c r="F1717" s="74">
        <f>+F1714</f>
        <v>302802.46923938039</v>
      </c>
    </row>
    <row r="1718" spans="1:6" x14ac:dyDescent="0.2">
      <c r="A1718" s="75" t="s">
        <v>173</v>
      </c>
      <c r="B1718" s="76"/>
      <c r="C1718" s="76"/>
      <c r="D1718" s="77"/>
      <c r="E1718" s="78"/>
      <c r="F1718" s="79"/>
    </row>
    <row r="1719" spans="1:6" x14ac:dyDescent="0.2">
      <c r="A1719" s="61" t="s">
        <v>158</v>
      </c>
      <c r="B1719" s="62" t="s">
        <v>159</v>
      </c>
      <c r="C1719" s="62" t="s">
        <v>174</v>
      </c>
      <c r="D1719" s="98" t="s">
        <v>175</v>
      </c>
      <c r="E1719" s="63" t="s">
        <v>165</v>
      </c>
      <c r="F1719" s="64" t="s">
        <v>162</v>
      </c>
    </row>
    <row r="1720" spans="1:6" x14ac:dyDescent="0.2">
      <c r="A1720" s="65">
        <v>0</v>
      </c>
      <c r="B1720" s="66">
        <v>0</v>
      </c>
      <c r="C1720" s="99"/>
      <c r="D1720" s="81"/>
      <c r="E1720" s="83">
        <v>0</v>
      </c>
      <c r="F1720" s="84">
        <v>0</v>
      </c>
    </row>
    <row r="1721" spans="1:6" x14ac:dyDescent="0.2">
      <c r="A1721" s="65">
        <v>0</v>
      </c>
      <c r="B1721" s="66">
        <v>0</v>
      </c>
      <c r="C1721" s="99"/>
      <c r="D1721" s="81"/>
      <c r="E1721" s="83">
        <v>0</v>
      </c>
      <c r="F1721" s="84">
        <v>0</v>
      </c>
    </row>
    <row r="1722" spans="1:6" ht="15" x14ac:dyDescent="0.25">
      <c r="A1722" s="72"/>
      <c r="B1722" s="73"/>
      <c r="C1722" s="408" t="s">
        <v>176</v>
      </c>
      <c r="D1722" s="408"/>
      <c r="E1722" s="409"/>
      <c r="F1722" s="74">
        <v>0</v>
      </c>
    </row>
    <row r="1723" spans="1:6" ht="15" thickBot="1" x14ac:dyDescent="0.25">
      <c r="A1723" s="75"/>
      <c r="B1723" s="76"/>
      <c r="C1723" s="76"/>
      <c r="D1723" s="77"/>
      <c r="E1723" s="78"/>
      <c r="F1723" s="79"/>
    </row>
    <row r="1724" spans="1:6" ht="15.75" thickBot="1" x14ac:dyDescent="0.3">
      <c r="A1724" s="100" t="s">
        <v>177</v>
      </c>
      <c r="B1724" s="101"/>
      <c r="C1724" s="101"/>
      <c r="D1724" s="101"/>
      <c r="E1724" s="102"/>
      <c r="F1724" s="103">
        <f>+F1702+F1711+F1717</f>
        <v>319794.46923938039</v>
      </c>
    </row>
    <row r="1725" spans="1:6" ht="15" x14ac:dyDescent="0.25">
      <c r="A1725" s="104" t="s">
        <v>178</v>
      </c>
      <c r="B1725" s="105"/>
      <c r="C1725" s="105"/>
      <c r="D1725" s="105"/>
      <c r="E1725" s="105"/>
      <c r="F1725" s="106" t="s">
        <v>179</v>
      </c>
    </row>
    <row r="1726" spans="1:6" x14ac:dyDescent="0.2">
      <c r="A1726" s="399" t="s">
        <v>158</v>
      </c>
      <c r="B1726" s="400"/>
      <c r="C1726" s="400"/>
      <c r="D1726" s="400"/>
      <c r="E1726" s="107" t="s">
        <v>144</v>
      </c>
      <c r="F1726" s="108"/>
    </row>
    <row r="1727" spans="1:6" x14ac:dyDescent="0.2">
      <c r="A1727" s="399" t="s">
        <v>180</v>
      </c>
      <c r="B1727" s="400"/>
      <c r="C1727" s="400"/>
      <c r="D1727" s="400"/>
      <c r="E1727" s="109">
        <v>0.23</v>
      </c>
      <c r="F1727" s="108">
        <f>+E1727*F1724</f>
        <v>73552.727925057494</v>
      </c>
    </row>
    <row r="1728" spans="1:6" x14ac:dyDescent="0.2">
      <c r="A1728" s="399" t="s">
        <v>181</v>
      </c>
      <c r="B1728" s="400"/>
      <c r="C1728" s="400"/>
      <c r="D1728" s="400"/>
      <c r="E1728" s="109">
        <v>0.02</v>
      </c>
      <c r="F1728" s="108">
        <f>+E1728*F1724</f>
        <v>6395.8893847876079</v>
      </c>
    </row>
    <row r="1729" spans="1:6" x14ac:dyDescent="0.2">
      <c r="A1729" s="399" t="s">
        <v>182</v>
      </c>
      <c r="B1729" s="400"/>
      <c r="C1729" s="400"/>
      <c r="D1729" s="400"/>
      <c r="E1729" s="109">
        <v>0.05</v>
      </c>
      <c r="F1729" s="108">
        <f>+E1729*F1724</f>
        <v>15989.723461969021</v>
      </c>
    </row>
    <row r="1730" spans="1:6" x14ac:dyDescent="0.2">
      <c r="A1730" s="110" t="s">
        <v>183</v>
      </c>
      <c r="B1730" s="111"/>
      <c r="C1730" s="111"/>
      <c r="D1730" s="111"/>
      <c r="E1730" s="109"/>
      <c r="F1730" s="108">
        <v>0</v>
      </c>
    </row>
    <row r="1731" spans="1:6" ht="15" x14ac:dyDescent="0.2">
      <c r="A1731" s="112"/>
      <c r="B1731" s="113"/>
      <c r="C1731" s="113"/>
      <c r="D1731" s="113"/>
      <c r="E1731" s="114" t="s">
        <v>184</v>
      </c>
      <c r="F1731" s="115">
        <f>+F1727+F1728+F1729</f>
        <v>95938.34077181411</v>
      </c>
    </row>
    <row r="1732" spans="1:6" ht="15.75" thickBot="1" x14ac:dyDescent="0.3">
      <c r="A1732" s="401" t="s">
        <v>185</v>
      </c>
      <c r="B1732" s="402"/>
      <c r="C1732" s="402"/>
      <c r="D1732" s="402"/>
      <c r="E1732" s="402"/>
      <c r="F1732" s="116">
        <f>+F1724+F1731</f>
        <v>415732.8100111945</v>
      </c>
    </row>
    <row r="1733" spans="1:6" x14ac:dyDescent="0.2">
      <c r="A1733" s="41" t="s">
        <v>153</v>
      </c>
      <c r="B1733" s="122" t="s">
        <v>13</v>
      </c>
      <c r="C1733" s="43"/>
      <c r="D1733" s="44"/>
      <c r="E1733" s="45"/>
      <c r="F1733" s="46"/>
    </row>
    <row r="1734" spans="1:6" x14ac:dyDescent="0.2">
      <c r="A1734" s="48" t="s">
        <v>154</v>
      </c>
      <c r="B1734" s="403" t="s">
        <v>14</v>
      </c>
      <c r="C1734" s="404"/>
      <c r="D1734" s="404"/>
      <c r="E1734" s="404"/>
      <c r="F1734" s="405"/>
    </row>
    <row r="1735" spans="1:6" ht="15" thickBot="1" x14ac:dyDescent="0.25">
      <c r="A1735" s="50" t="s">
        <v>156</v>
      </c>
      <c r="B1735" s="51" t="s">
        <v>15</v>
      </c>
      <c r="C1735" s="52"/>
      <c r="D1735" s="53"/>
      <c r="E1735" s="52"/>
      <c r="F1735" s="54"/>
    </row>
    <row r="1736" spans="1:6" x14ac:dyDescent="0.2">
      <c r="A1736" s="55" t="s">
        <v>157</v>
      </c>
      <c r="B1736" s="56"/>
      <c r="C1736" s="57"/>
      <c r="D1736" s="58"/>
      <c r="E1736" s="59"/>
      <c r="F1736" s="60"/>
    </row>
    <row r="1737" spans="1:6" x14ac:dyDescent="0.2">
      <c r="A1737" s="61" t="s">
        <v>158</v>
      </c>
      <c r="B1737" s="62" t="s">
        <v>159</v>
      </c>
      <c r="C1737" s="406" t="s">
        <v>160</v>
      </c>
      <c r="D1737" s="407"/>
      <c r="E1737" s="63" t="s">
        <v>161</v>
      </c>
      <c r="F1737" s="64" t="s">
        <v>162</v>
      </c>
    </row>
    <row r="1738" spans="1:6" x14ac:dyDescent="0.2">
      <c r="A1738" s="65" t="s">
        <v>193</v>
      </c>
      <c r="B1738" s="66" t="s">
        <v>189</v>
      </c>
      <c r="C1738" s="67">
        <f>+Lista_prec_base!C35</f>
        <v>8496</v>
      </c>
      <c r="D1738" s="68"/>
      <c r="E1738" s="69">
        <v>1</v>
      </c>
      <c r="F1738" s="70">
        <f>+C1738/E1738</f>
        <v>8496</v>
      </c>
    </row>
    <row r="1739" spans="1:6" x14ac:dyDescent="0.2">
      <c r="A1739" s="65"/>
      <c r="B1739" s="66"/>
      <c r="C1739" s="67"/>
      <c r="D1739" s="68"/>
      <c r="E1739" s="69"/>
      <c r="F1739" s="70"/>
    </row>
    <row r="1740" spans="1:6" x14ac:dyDescent="0.2">
      <c r="A1740" s="65">
        <v>0</v>
      </c>
      <c r="B1740" s="66">
        <v>0</v>
      </c>
      <c r="C1740" s="67">
        <v>0</v>
      </c>
      <c r="D1740" s="68"/>
      <c r="E1740" s="71"/>
      <c r="F1740" s="70">
        <v>0</v>
      </c>
    </row>
    <row r="1741" spans="1:6" x14ac:dyDescent="0.2">
      <c r="A1741" s="65">
        <v>0</v>
      </c>
      <c r="B1741" s="66">
        <v>0</v>
      </c>
      <c r="C1741" s="67">
        <v>0</v>
      </c>
      <c r="D1741" s="68"/>
      <c r="E1741" s="71"/>
      <c r="F1741" s="70">
        <v>0</v>
      </c>
    </row>
    <row r="1742" spans="1:6" ht="15" x14ac:dyDescent="0.25">
      <c r="A1742" s="72"/>
      <c r="B1742" s="73"/>
      <c r="C1742" s="408" t="s">
        <v>163</v>
      </c>
      <c r="D1742" s="408"/>
      <c r="E1742" s="409"/>
      <c r="F1742" s="74">
        <f>SUM(F1738:F1741)</f>
        <v>8496</v>
      </c>
    </row>
    <row r="1743" spans="1:6" x14ac:dyDescent="0.2">
      <c r="A1743" s="75" t="s">
        <v>164</v>
      </c>
      <c r="B1743" s="76"/>
      <c r="C1743" s="76"/>
      <c r="D1743" s="77"/>
      <c r="E1743" s="78"/>
      <c r="F1743" s="79"/>
    </row>
    <row r="1744" spans="1:6" x14ac:dyDescent="0.2">
      <c r="A1744" s="61" t="s">
        <v>158</v>
      </c>
      <c r="B1744" s="62" t="s">
        <v>159</v>
      </c>
      <c r="C1744" s="406" t="s">
        <v>7</v>
      </c>
      <c r="D1744" s="407"/>
      <c r="E1744" s="63" t="s">
        <v>165</v>
      </c>
      <c r="F1744" s="64" t="s">
        <v>162</v>
      </c>
    </row>
    <row r="1745" spans="1:6" x14ac:dyDescent="0.2">
      <c r="A1745" s="85" t="s">
        <v>240</v>
      </c>
      <c r="B1745" s="66" t="s">
        <v>196</v>
      </c>
      <c r="C1745" s="81">
        <v>0.05</v>
      </c>
      <c r="D1745" s="82"/>
      <c r="E1745" s="83">
        <f>+Lista_prec_base!C23</f>
        <v>350000</v>
      </c>
      <c r="F1745" s="84">
        <f>+E1745*C1745</f>
        <v>17500</v>
      </c>
    </row>
    <row r="1746" spans="1:6" x14ac:dyDescent="0.2">
      <c r="A1746" s="65" t="s">
        <v>241</v>
      </c>
      <c r="B1746" s="66" t="s">
        <v>88</v>
      </c>
      <c r="C1746" s="81">
        <v>0.1</v>
      </c>
      <c r="D1746" s="82"/>
      <c r="E1746" s="83">
        <f>+Lista_prec_base!C24</f>
        <v>450000</v>
      </c>
      <c r="F1746" s="84">
        <f t="shared" ref="F1746:F1749" si="3">+E1746*C1746</f>
        <v>45000</v>
      </c>
    </row>
    <row r="1747" spans="1:6" x14ac:dyDescent="0.2">
      <c r="A1747" s="65" t="s">
        <v>242</v>
      </c>
      <c r="B1747" s="66" t="s">
        <v>84</v>
      </c>
      <c r="C1747" s="123">
        <v>0.5</v>
      </c>
      <c r="D1747" s="82"/>
      <c r="E1747" s="83">
        <f>+Lista_prec_base!C25</f>
        <v>43083.170242852386</v>
      </c>
      <c r="F1747" s="84">
        <f t="shared" si="3"/>
        <v>21541.585121426193</v>
      </c>
    </row>
    <row r="1748" spans="1:6" x14ac:dyDescent="0.2">
      <c r="A1748" s="65" t="s">
        <v>243</v>
      </c>
      <c r="B1748" s="66" t="s">
        <v>159</v>
      </c>
      <c r="C1748" s="81">
        <v>126</v>
      </c>
      <c r="D1748" s="82"/>
      <c r="E1748" s="83">
        <f>+Lista_prec_base!C26</f>
        <v>650</v>
      </c>
      <c r="F1748" s="84">
        <f t="shared" si="3"/>
        <v>81900</v>
      </c>
    </row>
    <row r="1749" spans="1:6" x14ac:dyDescent="0.2">
      <c r="A1749" s="65" t="s">
        <v>244</v>
      </c>
      <c r="B1749" s="66" t="s">
        <v>214</v>
      </c>
      <c r="C1749" s="81">
        <v>4</v>
      </c>
      <c r="D1749" s="82"/>
      <c r="E1749" s="83">
        <f>+Lista_prec_base!C27</f>
        <v>3842.5530216598077</v>
      </c>
      <c r="F1749" s="84">
        <f t="shared" si="3"/>
        <v>15370.212086639231</v>
      </c>
    </row>
    <row r="1750" spans="1:6" x14ac:dyDescent="0.2">
      <c r="A1750" s="65"/>
      <c r="B1750" s="66"/>
      <c r="C1750" s="81"/>
      <c r="D1750" s="82"/>
      <c r="E1750" s="83"/>
      <c r="F1750" s="84"/>
    </row>
    <row r="1751" spans="1:6" ht="15" x14ac:dyDescent="0.25">
      <c r="A1751" s="72"/>
      <c r="B1751" s="73"/>
      <c r="C1751" s="408" t="s">
        <v>167</v>
      </c>
      <c r="D1751" s="408"/>
      <c r="E1751" s="409"/>
      <c r="F1751" s="74">
        <f>SUM(F1745:F1750)</f>
        <v>181311.79720806543</v>
      </c>
    </row>
    <row r="1752" spans="1:6" x14ac:dyDescent="0.2">
      <c r="A1752" s="72" t="s">
        <v>168</v>
      </c>
      <c r="B1752" s="73"/>
      <c r="C1752" s="73"/>
      <c r="D1752" s="88"/>
      <c r="E1752" s="89"/>
      <c r="F1752" s="90"/>
    </row>
    <row r="1753" spans="1:6" x14ac:dyDescent="0.2">
      <c r="A1753" s="61" t="s">
        <v>158</v>
      </c>
      <c r="B1753" s="62" t="s">
        <v>159</v>
      </c>
      <c r="C1753" s="62" t="s">
        <v>169</v>
      </c>
      <c r="D1753" s="91" t="s">
        <v>170</v>
      </c>
      <c r="E1753" s="63"/>
      <c r="F1753" s="64" t="s">
        <v>171</v>
      </c>
    </row>
    <row r="1754" spans="1:6" x14ac:dyDescent="0.2">
      <c r="A1754" s="65" t="s">
        <v>190</v>
      </c>
      <c r="B1754" s="92" t="s">
        <v>191</v>
      </c>
      <c r="C1754" s="93">
        <v>1.65</v>
      </c>
      <c r="D1754" s="94">
        <f>+Lista_prec_base!C43</f>
        <v>67000</v>
      </c>
      <c r="E1754" s="95">
        <v>0.55000000000000004</v>
      </c>
      <c r="F1754" s="70">
        <f>+C1754*D1754/E1754</f>
        <v>200999.99999999997</v>
      </c>
    </row>
    <row r="1755" spans="1:6" x14ac:dyDescent="0.2">
      <c r="A1755" s="65">
        <v>0</v>
      </c>
      <c r="B1755" s="92">
        <v>0</v>
      </c>
      <c r="C1755" s="93"/>
      <c r="D1755" s="94">
        <v>0</v>
      </c>
      <c r="E1755" s="96"/>
      <c r="F1755" s="97">
        <v>0</v>
      </c>
    </row>
    <row r="1756" spans="1:6" x14ac:dyDescent="0.2">
      <c r="A1756" s="65">
        <v>0</v>
      </c>
      <c r="B1756" s="92">
        <v>0</v>
      </c>
      <c r="C1756" s="93"/>
      <c r="D1756" s="94">
        <v>0</v>
      </c>
      <c r="E1756" s="96"/>
      <c r="F1756" s="97">
        <v>0</v>
      </c>
    </row>
    <row r="1757" spans="1:6" ht="15" x14ac:dyDescent="0.25">
      <c r="A1757" s="72"/>
      <c r="B1757" s="73"/>
      <c r="C1757" s="408" t="s">
        <v>172</v>
      </c>
      <c r="D1757" s="408"/>
      <c r="E1757" s="409"/>
      <c r="F1757" s="74">
        <f>+F1754</f>
        <v>200999.99999999997</v>
      </c>
    </row>
    <row r="1758" spans="1:6" x14ac:dyDescent="0.2">
      <c r="A1758" s="75" t="s">
        <v>173</v>
      </c>
      <c r="B1758" s="76"/>
      <c r="C1758" s="76"/>
      <c r="D1758" s="77"/>
      <c r="E1758" s="78"/>
      <c r="F1758" s="79"/>
    </row>
    <row r="1759" spans="1:6" x14ac:dyDescent="0.2">
      <c r="A1759" s="61" t="s">
        <v>158</v>
      </c>
      <c r="B1759" s="62" t="s">
        <v>159</v>
      </c>
      <c r="C1759" s="62" t="s">
        <v>174</v>
      </c>
      <c r="D1759" s="98" t="s">
        <v>175</v>
      </c>
      <c r="E1759" s="63" t="s">
        <v>165</v>
      </c>
      <c r="F1759" s="64" t="s">
        <v>162</v>
      </c>
    </row>
    <row r="1760" spans="1:6" x14ac:dyDescent="0.2">
      <c r="A1760" s="65">
        <v>0</v>
      </c>
      <c r="B1760" s="66">
        <v>0</v>
      </c>
      <c r="C1760" s="99"/>
      <c r="D1760" s="81"/>
      <c r="E1760" s="83">
        <v>0</v>
      </c>
      <c r="F1760" s="84">
        <v>0</v>
      </c>
    </row>
    <row r="1761" spans="1:6" x14ac:dyDescent="0.2">
      <c r="A1761" s="65">
        <v>0</v>
      </c>
      <c r="B1761" s="66">
        <v>0</v>
      </c>
      <c r="C1761" s="99"/>
      <c r="D1761" s="81"/>
      <c r="E1761" s="83">
        <v>0</v>
      </c>
      <c r="F1761" s="84">
        <v>0</v>
      </c>
    </row>
    <row r="1762" spans="1:6" ht="15" x14ac:dyDescent="0.25">
      <c r="A1762" s="72"/>
      <c r="B1762" s="73"/>
      <c r="C1762" s="408" t="s">
        <v>176</v>
      </c>
      <c r="D1762" s="408"/>
      <c r="E1762" s="409"/>
      <c r="F1762" s="74">
        <v>0</v>
      </c>
    </row>
    <row r="1763" spans="1:6" ht="15" thickBot="1" x14ac:dyDescent="0.25">
      <c r="A1763" s="75"/>
      <c r="B1763" s="76"/>
      <c r="C1763" s="76"/>
      <c r="D1763" s="77"/>
      <c r="E1763" s="78"/>
      <c r="F1763" s="79"/>
    </row>
    <row r="1764" spans="1:6" ht="15.75" thickBot="1" x14ac:dyDescent="0.3">
      <c r="A1764" s="100" t="s">
        <v>177</v>
      </c>
      <c r="B1764" s="101"/>
      <c r="C1764" s="101"/>
      <c r="D1764" s="101"/>
      <c r="E1764" s="102"/>
      <c r="F1764" s="103">
        <f>+F1742+F1751+F1757</f>
        <v>390807.7972080654</v>
      </c>
    </row>
    <row r="1765" spans="1:6" ht="15" x14ac:dyDescent="0.25">
      <c r="A1765" s="104" t="s">
        <v>178</v>
      </c>
      <c r="B1765" s="105"/>
      <c r="C1765" s="105"/>
      <c r="D1765" s="105"/>
      <c r="E1765" s="105"/>
      <c r="F1765" s="106" t="s">
        <v>179</v>
      </c>
    </row>
    <row r="1766" spans="1:6" x14ac:dyDescent="0.2">
      <c r="A1766" s="399" t="s">
        <v>158</v>
      </c>
      <c r="B1766" s="400"/>
      <c r="C1766" s="400"/>
      <c r="D1766" s="400"/>
      <c r="E1766" s="107" t="s">
        <v>144</v>
      </c>
      <c r="F1766" s="108"/>
    </row>
    <row r="1767" spans="1:6" x14ac:dyDescent="0.2">
      <c r="A1767" s="399" t="s">
        <v>180</v>
      </c>
      <c r="B1767" s="400"/>
      <c r="C1767" s="400"/>
      <c r="D1767" s="400"/>
      <c r="E1767" s="109">
        <v>0.23</v>
      </c>
      <c r="F1767" s="108">
        <f>+E1767*F1764</f>
        <v>89885.793357855044</v>
      </c>
    </row>
    <row r="1768" spans="1:6" x14ac:dyDescent="0.2">
      <c r="A1768" s="399" t="s">
        <v>181</v>
      </c>
      <c r="B1768" s="400"/>
      <c r="C1768" s="400"/>
      <c r="D1768" s="400"/>
      <c r="E1768" s="109">
        <v>0.02</v>
      </c>
      <c r="F1768" s="108">
        <f>+E1768*F1764</f>
        <v>7816.1559441613081</v>
      </c>
    </row>
    <row r="1769" spans="1:6" x14ac:dyDescent="0.2">
      <c r="A1769" s="399" t="s">
        <v>182</v>
      </c>
      <c r="B1769" s="400"/>
      <c r="C1769" s="400"/>
      <c r="D1769" s="400"/>
      <c r="E1769" s="109">
        <v>0.05</v>
      </c>
      <c r="F1769" s="108">
        <f>+E1769*F1764</f>
        <v>19540.389860403269</v>
      </c>
    </row>
    <row r="1770" spans="1:6" x14ac:dyDescent="0.2">
      <c r="A1770" s="110" t="s">
        <v>183</v>
      </c>
      <c r="B1770" s="111"/>
      <c r="C1770" s="111"/>
      <c r="D1770" s="111"/>
      <c r="E1770" s="109"/>
      <c r="F1770" s="108">
        <v>0</v>
      </c>
    </row>
    <row r="1771" spans="1:6" ht="15" x14ac:dyDescent="0.2">
      <c r="A1771" s="112"/>
      <c r="B1771" s="113"/>
      <c r="C1771" s="113"/>
      <c r="D1771" s="113"/>
      <c r="E1771" s="114" t="s">
        <v>184</v>
      </c>
      <c r="F1771" s="115">
        <f>+F1767+F1768+F1769</f>
        <v>117242.33916241962</v>
      </c>
    </row>
    <row r="1772" spans="1:6" ht="15.75" thickBot="1" x14ac:dyDescent="0.3">
      <c r="A1772" s="401" t="s">
        <v>185</v>
      </c>
      <c r="B1772" s="402"/>
      <c r="C1772" s="402"/>
      <c r="D1772" s="402"/>
      <c r="E1772" s="402"/>
      <c r="F1772" s="116">
        <f>+F1764+F1771</f>
        <v>508050.13637048501</v>
      </c>
    </row>
  </sheetData>
  <mergeCells count="540">
    <mergeCell ref="A1728:D1728"/>
    <mergeCell ref="A1729:D1729"/>
    <mergeCell ref="A1732:E1732"/>
    <mergeCell ref="B1694:F1694"/>
    <mergeCell ref="C1697:D1697"/>
    <mergeCell ref="C1702:E1702"/>
    <mergeCell ref="C1704:D1704"/>
    <mergeCell ref="C1711:E1711"/>
    <mergeCell ref="C1717:E1717"/>
    <mergeCell ref="C1722:E1722"/>
    <mergeCell ref="A1726:D1726"/>
    <mergeCell ref="A1727:D1727"/>
    <mergeCell ref="C1664:D1664"/>
    <mergeCell ref="C1671:E1671"/>
    <mergeCell ref="C1677:E1677"/>
    <mergeCell ref="C1682:E1682"/>
    <mergeCell ref="A1686:D1686"/>
    <mergeCell ref="A1687:D1687"/>
    <mergeCell ref="A1688:D1688"/>
    <mergeCell ref="A1689:D1689"/>
    <mergeCell ref="A1692:E1692"/>
    <mergeCell ref="C1642:E1642"/>
    <mergeCell ref="A1646:D1646"/>
    <mergeCell ref="A1647:D1647"/>
    <mergeCell ref="A1648:D1648"/>
    <mergeCell ref="A1649:D1649"/>
    <mergeCell ref="A1652:E1652"/>
    <mergeCell ref="B1654:F1654"/>
    <mergeCell ref="C1657:D1657"/>
    <mergeCell ref="C1662:E1662"/>
    <mergeCell ref="A1608:D1608"/>
    <mergeCell ref="A1609:D1609"/>
    <mergeCell ref="A1612:E1612"/>
    <mergeCell ref="B1614:F1614"/>
    <mergeCell ref="C1617:D1617"/>
    <mergeCell ref="C1622:E1622"/>
    <mergeCell ref="C1624:D1624"/>
    <mergeCell ref="C1631:E1631"/>
    <mergeCell ref="C1637:E1637"/>
    <mergeCell ref="A1528:D1528"/>
    <mergeCell ref="A1529:D1529"/>
    <mergeCell ref="A1532:E1532"/>
    <mergeCell ref="B1454:F1454"/>
    <mergeCell ref="C1457:D1457"/>
    <mergeCell ref="C1462:E1462"/>
    <mergeCell ref="C1464:D1464"/>
    <mergeCell ref="C1471:E1471"/>
    <mergeCell ref="C1477:E1477"/>
    <mergeCell ref="C1482:E1482"/>
    <mergeCell ref="A1486:D1486"/>
    <mergeCell ref="A1487:D1487"/>
    <mergeCell ref="A1488:D1488"/>
    <mergeCell ref="A1489:D1489"/>
    <mergeCell ref="A1492:E1492"/>
    <mergeCell ref="B1494:F1494"/>
    <mergeCell ref="C1497:D1497"/>
    <mergeCell ref="C1502:E1502"/>
    <mergeCell ref="C1504:D1504"/>
    <mergeCell ref="C1511:E1511"/>
    <mergeCell ref="C1517:E1517"/>
    <mergeCell ref="C1522:E1522"/>
    <mergeCell ref="A1526:D1526"/>
    <mergeCell ref="A1527:D1527"/>
    <mergeCell ref="A1768:D1768"/>
    <mergeCell ref="A1769:D1769"/>
    <mergeCell ref="A1772:E1772"/>
    <mergeCell ref="B1534:F1534"/>
    <mergeCell ref="C1537:D1537"/>
    <mergeCell ref="C1542:E1542"/>
    <mergeCell ref="C1544:D1544"/>
    <mergeCell ref="C1551:E1551"/>
    <mergeCell ref="C1557:E1557"/>
    <mergeCell ref="C1562:E1562"/>
    <mergeCell ref="A1566:D1566"/>
    <mergeCell ref="A1567:D1567"/>
    <mergeCell ref="A1568:D1568"/>
    <mergeCell ref="A1569:D1569"/>
    <mergeCell ref="A1572:E1572"/>
    <mergeCell ref="B1574:F1574"/>
    <mergeCell ref="C1577:D1577"/>
    <mergeCell ref="C1582:E1582"/>
    <mergeCell ref="C1584:D1584"/>
    <mergeCell ref="C1591:E1591"/>
    <mergeCell ref="C1597:E1597"/>
    <mergeCell ref="C1602:E1602"/>
    <mergeCell ref="A1606:D1606"/>
    <mergeCell ref="A1607:D1607"/>
    <mergeCell ref="B1734:F1734"/>
    <mergeCell ref="C1737:D1737"/>
    <mergeCell ref="C1742:E1742"/>
    <mergeCell ref="C1744:D1744"/>
    <mergeCell ref="C1751:E1751"/>
    <mergeCell ref="C1757:E1757"/>
    <mergeCell ref="C1762:E1762"/>
    <mergeCell ref="A1766:D1766"/>
    <mergeCell ref="A1767:D1767"/>
    <mergeCell ref="C1442:E1442"/>
    <mergeCell ref="A1446:D1446"/>
    <mergeCell ref="A1447:D1447"/>
    <mergeCell ref="A1448:D1448"/>
    <mergeCell ref="A1449:D1449"/>
    <mergeCell ref="A1452:E1452"/>
    <mergeCell ref="B1376:F1376"/>
    <mergeCell ref="C1379:D1379"/>
    <mergeCell ref="C1384:E1384"/>
    <mergeCell ref="C1386:D1386"/>
    <mergeCell ref="C1392:E1392"/>
    <mergeCell ref="C1398:E1398"/>
    <mergeCell ref="C1403:E1403"/>
    <mergeCell ref="A1407:D1407"/>
    <mergeCell ref="A1408:D1408"/>
    <mergeCell ref="A1409:D1409"/>
    <mergeCell ref="A1410:D1410"/>
    <mergeCell ref="A1413:E1413"/>
    <mergeCell ref="A1331:D1331"/>
    <mergeCell ref="A1332:D1332"/>
    <mergeCell ref="A1335:E1335"/>
    <mergeCell ref="B1415:F1415"/>
    <mergeCell ref="C1418:D1418"/>
    <mergeCell ref="C1423:E1423"/>
    <mergeCell ref="C1425:D1425"/>
    <mergeCell ref="C1431:E1431"/>
    <mergeCell ref="C1437:E1437"/>
    <mergeCell ref="B1337:F1337"/>
    <mergeCell ref="C1340:D1340"/>
    <mergeCell ref="C1345:E1345"/>
    <mergeCell ref="C1347:D1347"/>
    <mergeCell ref="C1353:E1353"/>
    <mergeCell ref="C1359:E1359"/>
    <mergeCell ref="C1364:E1364"/>
    <mergeCell ref="A1368:D1368"/>
    <mergeCell ref="A1369:D1369"/>
    <mergeCell ref="A1370:D1370"/>
    <mergeCell ref="A1371:D1371"/>
    <mergeCell ref="A1374:E1374"/>
    <mergeCell ref="B1298:F1298"/>
    <mergeCell ref="C1301:D1301"/>
    <mergeCell ref="C1306:E1306"/>
    <mergeCell ref="C1308:D1308"/>
    <mergeCell ref="C1314:E1314"/>
    <mergeCell ref="C1320:E1320"/>
    <mergeCell ref="C1325:E1325"/>
    <mergeCell ref="A1329:D1329"/>
    <mergeCell ref="A1330:D1330"/>
    <mergeCell ref="C1026:D1026"/>
    <mergeCell ref="C1032:E1032"/>
    <mergeCell ref="C1038:E1038"/>
    <mergeCell ref="C1043:E1043"/>
    <mergeCell ref="A1047:D1047"/>
    <mergeCell ref="A1048:D1048"/>
    <mergeCell ref="A1049:D1049"/>
    <mergeCell ref="A1050:D1050"/>
    <mergeCell ref="A1053:E1053"/>
    <mergeCell ref="C1004:E1004"/>
    <mergeCell ref="A1008:D1008"/>
    <mergeCell ref="A1009:D1009"/>
    <mergeCell ref="A1010:D1010"/>
    <mergeCell ref="A1011:D1011"/>
    <mergeCell ref="A1014:E1014"/>
    <mergeCell ref="B1016:F1016"/>
    <mergeCell ref="C1019:D1019"/>
    <mergeCell ref="C1024:E1024"/>
    <mergeCell ref="A971:D971"/>
    <mergeCell ref="A972:D972"/>
    <mergeCell ref="A975:E975"/>
    <mergeCell ref="B977:F977"/>
    <mergeCell ref="C980:D980"/>
    <mergeCell ref="C985:E985"/>
    <mergeCell ref="C987:D987"/>
    <mergeCell ref="C993:E993"/>
    <mergeCell ref="C999:E999"/>
    <mergeCell ref="B938:F938"/>
    <mergeCell ref="C941:D941"/>
    <mergeCell ref="C946:E946"/>
    <mergeCell ref="C948:D948"/>
    <mergeCell ref="C954:E954"/>
    <mergeCell ref="C960:E960"/>
    <mergeCell ref="C965:E965"/>
    <mergeCell ref="A969:D969"/>
    <mergeCell ref="A970:D970"/>
    <mergeCell ref="C909:D909"/>
    <mergeCell ref="C915:E915"/>
    <mergeCell ref="C921:E921"/>
    <mergeCell ref="C926:E926"/>
    <mergeCell ref="A930:D930"/>
    <mergeCell ref="A931:D931"/>
    <mergeCell ref="A932:D932"/>
    <mergeCell ref="A933:D933"/>
    <mergeCell ref="A936:E936"/>
    <mergeCell ref="C887:E887"/>
    <mergeCell ref="A891:D891"/>
    <mergeCell ref="A892:D892"/>
    <mergeCell ref="A893:D893"/>
    <mergeCell ref="A894:D894"/>
    <mergeCell ref="A897:E897"/>
    <mergeCell ref="B899:F899"/>
    <mergeCell ref="C902:D902"/>
    <mergeCell ref="C907:E907"/>
    <mergeCell ref="A854:D854"/>
    <mergeCell ref="A855:D855"/>
    <mergeCell ref="A858:E858"/>
    <mergeCell ref="B860:F860"/>
    <mergeCell ref="C863:D863"/>
    <mergeCell ref="C868:E868"/>
    <mergeCell ref="C870:D870"/>
    <mergeCell ref="C876:E876"/>
    <mergeCell ref="C882:E882"/>
    <mergeCell ref="B821:F821"/>
    <mergeCell ref="C824:D824"/>
    <mergeCell ref="C829:E829"/>
    <mergeCell ref="C831:D831"/>
    <mergeCell ref="C837:E837"/>
    <mergeCell ref="C843:E843"/>
    <mergeCell ref="C848:E848"/>
    <mergeCell ref="A852:D852"/>
    <mergeCell ref="A853:D853"/>
    <mergeCell ref="C792:D792"/>
    <mergeCell ref="C798:E798"/>
    <mergeCell ref="C804:E804"/>
    <mergeCell ref="C809:E809"/>
    <mergeCell ref="A813:D813"/>
    <mergeCell ref="A814:D814"/>
    <mergeCell ref="A815:D815"/>
    <mergeCell ref="A816:D816"/>
    <mergeCell ref="A819:E819"/>
    <mergeCell ref="C770:E770"/>
    <mergeCell ref="A774:D774"/>
    <mergeCell ref="A775:D775"/>
    <mergeCell ref="A776:D776"/>
    <mergeCell ref="A777:D777"/>
    <mergeCell ref="A780:E780"/>
    <mergeCell ref="B782:F782"/>
    <mergeCell ref="C785:D785"/>
    <mergeCell ref="C790:E790"/>
    <mergeCell ref="A737:D737"/>
    <mergeCell ref="A738:D738"/>
    <mergeCell ref="A741:E741"/>
    <mergeCell ref="B743:F743"/>
    <mergeCell ref="C746:D746"/>
    <mergeCell ref="C751:E751"/>
    <mergeCell ref="C753:D753"/>
    <mergeCell ref="C759:E759"/>
    <mergeCell ref="C765:E765"/>
    <mergeCell ref="B704:F704"/>
    <mergeCell ref="C707:D707"/>
    <mergeCell ref="C712:E712"/>
    <mergeCell ref="C714:D714"/>
    <mergeCell ref="C720:E720"/>
    <mergeCell ref="C726:E726"/>
    <mergeCell ref="C731:E731"/>
    <mergeCell ref="A735:D735"/>
    <mergeCell ref="A736:D736"/>
    <mergeCell ref="A464:D464"/>
    <mergeCell ref="A465:D465"/>
    <mergeCell ref="A468:E468"/>
    <mergeCell ref="B431:F431"/>
    <mergeCell ref="C434:D434"/>
    <mergeCell ref="C439:E439"/>
    <mergeCell ref="C441:D441"/>
    <mergeCell ref="C447:E447"/>
    <mergeCell ref="C453:E453"/>
    <mergeCell ref="C458:E458"/>
    <mergeCell ref="A462:D462"/>
    <mergeCell ref="A463:D463"/>
    <mergeCell ref="C29:E29"/>
    <mergeCell ref="A33:D33"/>
    <mergeCell ref="A34:D34"/>
    <mergeCell ref="A35:D35"/>
    <mergeCell ref="A36:D36"/>
    <mergeCell ref="A39:E39"/>
    <mergeCell ref="B2:F2"/>
    <mergeCell ref="C5:D5"/>
    <mergeCell ref="C10:E10"/>
    <mergeCell ref="C12:D12"/>
    <mergeCell ref="C18:E18"/>
    <mergeCell ref="C24:E24"/>
    <mergeCell ref="C146:E146"/>
    <mergeCell ref="A150:D150"/>
    <mergeCell ref="A151:D151"/>
    <mergeCell ref="A152:D152"/>
    <mergeCell ref="A153:D153"/>
    <mergeCell ref="A156:E156"/>
    <mergeCell ref="B119:F119"/>
    <mergeCell ref="C122:D122"/>
    <mergeCell ref="C127:E127"/>
    <mergeCell ref="C129:D129"/>
    <mergeCell ref="C135:E135"/>
    <mergeCell ref="C141:E141"/>
    <mergeCell ref="C653:E653"/>
    <mergeCell ref="A657:D657"/>
    <mergeCell ref="A658:D658"/>
    <mergeCell ref="A659:D659"/>
    <mergeCell ref="A660:D660"/>
    <mergeCell ref="A663:E663"/>
    <mergeCell ref="B626:F626"/>
    <mergeCell ref="C629:D629"/>
    <mergeCell ref="C634:E634"/>
    <mergeCell ref="C636:D636"/>
    <mergeCell ref="C642:E642"/>
    <mergeCell ref="C648:E648"/>
    <mergeCell ref="C692:E692"/>
    <mergeCell ref="A696:D696"/>
    <mergeCell ref="A697:D697"/>
    <mergeCell ref="A698:D698"/>
    <mergeCell ref="A699:D699"/>
    <mergeCell ref="A702:E702"/>
    <mergeCell ref="B665:F665"/>
    <mergeCell ref="C668:D668"/>
    <mergeCell ref="C673:E673"/>
    <mergeCell ref="C675:D675"/>
    <mergeCell ref="C681:E681"/>
    <mergeCell ref="C687:E687"/>
    <mergeCell ref="C1084:E1084"/>
    <mergeCell ref="A1088:D1088"/>
    <mergeCell ref="A1089:D1089"/>
    <mergeCell ref="A1090:D1090"/>
    <mergeCell ref="A1091:D1091"/>
    <mergeCell ref="A1094:E1094"/>
    <mergeCell ref="B1055:F1055"/>
    <mergeCell ref="C1058:D1058"/>
    <mergeCell ref="C1063:E1063"/>
    <mergeCell ref="C1065:D1065"/>
    <mergeCell ref="C1073:E1073"/>
    <mergeCell ref="C1079:E1079"/>
    <mergeCell ref="C1125:E1125"/>
    <mergeCell ref="A1129:D1129"/>
    <mergeCell ref="A1130:D1130"/>
    <mergeCell ref="A1131:D1131"/>
    <mergeCell ref="A1132:D1132"/>
    <mergeCell ref="A1135:E1135"/>
    <mergeCell ref="B1096:F1096"/>
    <mergeCell ref="C1099:D1099"/>
    <mergeCell ref="C1104:E1104"/>
    <mergeCell ref="C1106:D1106"/>
    <mergeCell ref="C1114:E1114"/>
    <mergeCell ref="C1120:E1120"/>
    <mergeCell ref="C1166:E1166"/>
    <mergeCell ref="A1170:D1170"/>
    <mergeCell ref="A1171:D1171"/>
    <mergeCell ref="A1172:D1172"/>
    <mergeCell ref="A1173:D1173"/>
    <mergeCell ref="A1176:E1176"/>
    <mergeCell ref="B1137:F1137"/>
    <mergeCell ref="C1140:D1140"/>
    <mergeCell ref="C1145:E1145"/>
    <mergeCell ref="C1147:D1147"/>
    <mergeCell ref="C1155:E1155"/>
    <mergeCell ref="C1161:E1161"/>
    <mergeCell ref="C1206:E1206"/>
    <mergeCell ref="A1210:D1210"/>
    <mergeCell ref="A1211:D1211"/>
    <mergeCell ref="A1212:D1212"/>
    <mergeCell ref="A1213:D1213"/>
    <mergeCell ref="A1216:E1216"/>
    <mergeCell ref="B1178:F1178"/>
    <mergeCell ref="C1181:D1181"/>
    <mergeCell ref="C1186:E1186"/>
    <mergeCell ref="C1188:D1188"/>
    <mergeCell ref="C1195:E1195"/>
    <mergeCell ref="C1201:E1201"/>
    <mergeCell ref="C1246:E1246"/>
    <mergeCell ref="A1250:D1250"/>
    <mergeCell ref="A1251:D1251"/>
    <mergeCell ref="A1252:D1252"/>
    <mergeCell ref="A1253:D1253"/>
    <mergeCell ref="A1256:E1256"/>
    <mergeCell ref="B1218:F1218"/>
    <mergeCell ref="C1221:D1221"/>
    <mergeCell ref="C1226:E1226"/>
    <mergeCell ref="C1228:D1228"/>
    <mergeCell ref="C1235:E1235"/>
    <mergeCell ref="C1241:E1241"/>
    <mergeCell ref="C1286:E1286"/>
    <mergeCell ref="A1290:D1290"/>
    <mergeCell ref="A1291:D1291"/>
    <mergeCell ref="A1292:D1292"/>
    <mergeCell ref="A1293:D1293"/>
    <mergeCell ref="A1296:E1296"/>
    <mergeCell ref="B1258:F1258"/>
    <mergeCell ref="C1261:D1261"/>
    <mergeCell ref="C1266:E1266"/>
    <mergeCell ref="C1268:D1268"/>
    <mergeCell ref="C1275:E1275"/>
    <mergeCell ref="C1281:E1281"/>
    <mergeCell ref="C68:E68"/>
    <mergeCell ref="A72:D72"/>
    <mergeCell ref="A73:D73"/>
    <mergeCell ref="A74:D74"/>
    <mergeCell ref="A75:D75"/>
    <mergeCell ref="A78:E78"/>
    <mergeCell ref="B41:F41"/>
    <mergeCell ref="C44:D44"/>
    <mergeCell ref="C49:E49"/>
    <mergeCell ref="C51:D51"/>
    <mergeCell ref="C57:E57"/>
    <mergeCell ref="C63:E63"/>
    <mergeCell ref="C107:E107"/>
    <mergeCell ref="A111:D111"/>
    <mergeCell ref="A112:D112"/>
    <mergeCell ref="A113:D113"/>
    <mergeCell ref="A114:D114"/>
    <mergeCell ref="A117:E117"/>
    <mergeCell ref="B80:F80"/>
    <mergeCell ref="C83:D83"/>
    <mergeCell ref="C88:E88"/>
    <mergeCell ref="C90:D90"/>
    <mergeCell ref="C96:E96"/>
    <mergeCell ref="C102:E102"/>
    <mergeCell ref="B158:F158"/>
    <mergeCell ref="C161:D161"/>
    <mergeCell ref="C166:E166"/>
    <mergeCell ref="C168:D168"/>
    <mergeCell ref="C174:E174"/>
    <mergeCell ref="C180:E180"/>
    <mergeCell ref="C185:E185"/>
    <mergeCell ref="A189:D189"/>
    <mergeCell ref="A190:D190"/>
    <mergeCell ref="A191:D191"/>
    <mergeCell ref="A192:D192"/>
    <mergeCell ref="A195:E195"/>
    <mergeCell ref="B197:F197"/>
    <mergeCell ref="C200:D200"/>
    <mergeCell ref="C205:E205"/>
    <mergeCell ref="C207:D207"/>
    <mergeCell ref="C213:E213"/>
    <mergeCell ref="C219:E219"/>
    <mergeCell ref="C224:E224"/>
    <mergeCell ref="A228:D228"/>
    <mergeCell ref="A229:D229"/>
    <mergeCell ref="A230:D230"/>
    <mergeCell ref="A231:D231"/>
    <mergeCell ref="A234:E234"/>
    <mergeCell ref="B236:F236"/>
    <mergeCell ref="C239:D239"/>
    <mergeCell ref="C244:E244"/>
    <mergeCell ref="C246:D246"/>
    <mergeCell ref="C252:E252"/>
    <mergeCell ref="C258:E258"/>
    <mergeCell ref="C263:E263"/>
    <mergeCell ref="A267:D267"/>
    <mergeCell ref="A268:D268"/>
    <mergeCell ref="A269:D269"/>
    <mergeCell ref="A270:D270"/>
    <mergeCell ref="A273:E273"/>
    <mergeCell ref="B275:F275"/>
    <mergeCell ref="C278:D278"/>
    <mergeCell ref="C283:E283"/>
    <mergeCell ref="C285:D285"/>
    <mergeCell ref="C291:E291"/>
    <mergeCell ref="C297:E297"/>
    <mergeCell ref="C302:E302"/>
    <mergeCell ref="A306:D306"/>
    <mergeCell ref="A307:D307"/>
    <mergeCell ref="A308:D308"/>
    <mergeCell ref="A309:D309"/>
    <mergeCell ref="A312:E312"/>
    <mergeCell ref="B314:F314"/>
    <mergeCell ref="C317:D317"/>
    <mergeCell ref="C322:E322"/>
    <mergeCell ref="C324:D324"/>
    <mergeCell ref="C330:E330"/>
    <mergeCell ref="C336:E336"/>
    <mergeCell ref="C341:E341"/>
    <mergeCell ref="A345:D345"/>
    <mergeCell ref="A346:D346"/>
    <mergeCell ref="A347:D347"/>
    <mergeCell ref="A348:D348"/>
    <mergeCell ref="A351:E351"/>
    <mergeCell ref="B353:F353"/>
    <mergeCell ref="C356:D356"/>
    <mergeCell ref="C361:E361"/>
    <mergeCell ref="C363:D363"/>
    <mergeCell ref="C369:E369"/>
    <mergeCell ref="C375:E375"/>
    <mergeCell ref="C380:E380"/>
    <mergeCell ref="A384:D384"/>
    <mergeCell ref="A385:D385"/>
    <mergeCell ref="A386:D386"/>
    <mergeCell ref="A387:D387"/>
    <mergeCell ref="A390:E390"/>
    <mergeCell ref="A425:D425"/>
    <mergeCell ref="A426:D426"/>
    <mergeCell ref="A429:E429"/>
    <mergeCell ref="B392:F392"/>
    <mergeCell ref="C395:D395"/>
    <mergeCell ref="C400:E400"/>
    <mergeCell ref="C402:D402"/>
    <mergeCell ref="C408:E408"/>
    <mergeCell ref="C414:E414"/>
    <mergeCell ref="C419:E419"/>
    <mergeCell ref="A423:D423"/>
    <mergeCell ref="A424:D424"/>
    <mergeCell ref="B470:F470"/>
    <mergeCell ref="C473:D473"/>
    <mergeCell ref="C478:E478"/>
    <mergeCell ref="C480:D480"/>
    <mergeCell ref="C486:E486"/>
    <mergeCell ref="C492:E492"/>
    <mergeCell ref="C497:E497"/>
    <mergeCell ref="A501:D501"/>
    <mergeCell ref="A502:D502"/>
    <mergeCell ref="A503:D503"/>
    <mergeCell ref="A504:D504"/>
    <mergeCell ref="A507:E507"/>
    <mergeCell ref="B509:F509"/>
    <mergeCell ref="C512:D512"/>
    <mergeCell ref="C517:E517"/>
    <mergeCell ref="C519:D519"/>
    <mergeCell ref="C525:E525"/>
    <mergeCell ref="C531:E531"/>
    <mergeCell ref="C536:E536"/>
    <mergeCell ref="A540:D540"/>
    <mergeCell ref="A541:D541"/>
    <mergeCell ref="A542:D542"/>
    <mergeCell ref="A543:D543"/>
    <mergeCell ref="A546:E546"/>
    <mergeCell ref="B548:F548"/>
    <mergeCell ref="C551:D551"/>
    <mergeCell ref="C556:E556"/>
    <mergeCell ref="C558:D558"/>
    <mergeCell ref="C564:E564"/>
    <mergeCell ref="C570:E570"/>
    <mergeCell ref="C575:E575"/>
    <mergeCell ref="A579:D579"/>
    <mergeCell ref="A580:D580"/>
    <mergeCell ref="A581:D581"/>
    <mergeCell ref="A582:D582"/>
    <mergeCell ref="A585:E585"/>
    <mergeCell ref="A620:D620"/>
    <mergeCell ref="A621:D621"/>
    <mergeCell ref="A624:E624"/>
    <mergeCell ref="B587:F587"/>
    <mergeCell ref="C590:D590"/>
    <mergeCell ref="C595:E595"/>
    <mergeCell ref="C597:D597"/>
    <mergeCell ref="C603:E603"/>
    <mergeCell ref="C609:E609"/>
    <mergeCell ref="C614:E614"/>
    <mergeCell ref="A618:D618"/>
    <mergeCell ref="A619:D619"/>
  </mergeCells>
  <pageMargins left="0.70866141732283472" right="0.70866141732283472" top="1.1811023622047245" bottom="1.1811023622047245" header="0.31496062992125984" footer="0.31496062992125984"/>
  <pageSetup scale="65" orientation="portrait" horizontalDpi="4294967293" verticalDpi="4294967293" r:id="rId1"/>
  <headerFooter>
    <oddHeader>&amp;CUNIÓN TEMPORAL CUENCA 1
ANALISIS DE PRECIOS UNITARIOS</oddHeader>
  </headerFooter>
  <rowBreaks count="44" manualBreakCount="44">
    <brk id="39" max="16383" man="1"/>
    <brk id="78" max="16383" man="1"/>
    <brk id="117" max="16383" man="1"/>
    <brk id="156" max="5" man="1"/>
    <brk id="195" max="5" man="1"/>
    <brk id="234" max="5" man="1"/>
    <brk id="273" max="5" man="1"/>
    <brk id="312" max="5" man="1"/>
    <brk id="351" max="5" man="1"/>
    <brk id="390" max="5" man="1"/>
    <brk id="429" max="5" man="1"/>
    <brk id="468" max="5" man="1"/>
    <brk id="507" max="5" man="1"/>
    <brk id="546" max="5" man="1"/>
    <brk id="585" max="5" man="1"/>
    <brk id="624" max="16383" man="1"/>
    <brk id="663" max="16383" man="1"/>
    <brk id="702" max="5" man="1"/>
    <brk id="741" max="5" man="1"/>
    <brk id="780" max="5" man="1"/>
    <brk id="819" max="5" man="1"/>
    <brk id="858" max="5" man="1"/>
    <brk id="897" max="5" man="1"/>
    <brk id="936" max="5" man="1"/>
    <brk id="975" max="5" man="1"/>
    <brk id="1014" max="5" man="1"/>
    <brk id="1053" max="16383" man="1"/>
    <brk id="1094" max="16383" man="1"/>
    <brk id="1135" max="16383" man="1"/>
    <brk id="1176" max="16383" man="1"/>
    <brk id="1216" max="16383" man="1"/>
    <brk id="1256" max="16383" man="1"/>
    <brk id="1296" max="5" man="1"/>
    <brk id="1335" max="5" man="1"/>
    <brk id="1374" max="5" man="1"/>
    <brk id="1413" max="5" man="1"/>
    <brk id="1452" max="5" man="1"/>
    <brk id="1492" max="5" man="1"/>
    <brk id="1532" max="5" man="1"/>
    <brk id="1572" max="5" man="1"/>
    <brk id="1612" max="5" man="1"/>
    <brk id="1652" max="5" man="1"/>
    <brk id="1692" max="5" man="1"/>
    <brk id="173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6"/>
  <sheetViews>
    <sheetView view="pageBreakPreview" topLeftCell="A6" zoomScale="60" zoomScaleNormal="100" workbookViewId="0">
      <selection activeCell="C33" sqref="C33"/>
    </sheetView>
  </sheetViews>
  <sheetFormatPr baseColWidth="10" defaultRowHeight="15" x14ac:dyDescent="0.25"/>
  <cols>
    <col min="1" max="1" width="59.5703125" customWidth="1"/>
    <col min="3" max="3" width="24.85546875" style="140" customWidth="1"/>
    <col min="5" max="5" width="25.85546875" customWidth="1"/>
    <col min="6" max="6" width="13" style="140" bestFit="1" customWidth="1"/>
  </cols>
  <sheetData>
    <row r="2" spans="1:7" x14ac:dyDescent="0.25">
      <c r="A2" s="422" t="e">
        <f>+Formulario_5!B2</f>
        <v>#REF!</v>
      </c>
      <c r="B2" s="422"/>
      <c r="C2" s="422"/>
    </row>
    <row r="3" spans="1:7" x14ac:dyDescent="0.25">
      <c r="A3" s="419" t="e">
        <f>+Formulario_5!B3</f>
        <v>#REF!</v>
      </c>
      <c r="B3" s="420"/>
      <c r="C3" s="421"/>
    </row>
    <row r="4" spans="1:7" x14ac:dyDescent="0.25">
      <c r="D4" s="136"/>
      <c r="E4" s="136"/>
      <c r="F4" s="142"/>
    </row>
    <row r="5" spans="1:7" x14ac:dyDescent="0.25">
      <c r="A5" s="143" t="s">
        <v>250</v>
      </c>
      <c r="B5" s="143" t="s">
        <v>159</v>
      </c>
      <c r="C5" s="144" t="s">
        <v>252</v>
      </c>
      <c r="D5" s="137"/>
      <c r="E5" s="137"/>
      <c r="F5" s="142"/>
    </row>
    <row r="6" spans="1:7" x14ac:dyDescent="0.25">
      <c r="A6" s="143" t="s">
        <v>268</v>
      </c>
      <c r="B6" s="143"/>
      <c r="C6" s="145"/>
      <c r="D6" s="137"/>
      <c r="E6" s="137"/>
      <c r="F6" s="142"/>
    </row>
    <row r="7" spans="1:7" x14ac:dyDescent="0.25">
      <c r="A7" s="12" t="s">
        <v>239</v>
      </c>
      <c r="B7" s="7" t="s">
        <v>33</v>
      </c>
      <c r="C7" s="9">
        <v>17367</v>
      </c>
      <c r="D7" s="138"/>
      <c r="E7" s="136"/>
      <c r="F7" s="142"/>
    </row>
    <row r="8" spans="1:7" x14ac:dyDescent="0.25">
      <c r="A8" s="12" t="s">
        <v>31</v>
      </c>
      <c r="B8" s="7" t="s">
        <v>33</v>
      </c>
      <c r="C8" s="9">
        <v>25387</v>
      </c>
      <c r="D8" s="139"/>
      <c r="E8" s="136"/>
      <c r="F8" s="142"/>
    </row>
    <row r="9" spans="1:7" x14ac:dyDescent="0.25">
      <c r="A9" s="12" t="s">
        <v>150</v>
      </c>
      <c r="B9" s="7" t="s">
        <v>33</v>
      </c>
      <c r="C9" s="9">
        <v>36907</v>
      </c>
      <c r="D9" s="138"/>
      <c r="E9" s="136"/>
      <c r="F9" s="142"/>
    </row>
    <row r="10" spans="1:7" x14ac:dyDescent="0.25">
      <c r="A10" s="12" t="s">
        <v>32</v>
      </c>
      <c r="B10" s="7" t="s">
        <v>33</v>
      </c>
      <c r="C10" s="9">
        <v>54568</v>
      </c>
      <c r="D10" s="139"/>
      <c r="E10" s="136"/>
      <c r="F10" s="142"/>
    </row>
    <row r="11" spans="1:7" x14ac:dyDescent="0.25">
      <c r="A11" s="12" t="s">
        <v>186</v>
      </c>
      <c r="B11" s="7" t="s">
        <v>33</v>
      </c>
      <c r="C11" s="9">
        <v>84521</v>
      </c>
      <c r="D11" s="138"/>
      <c r="E11" s="136"/>
      <c r="F11" s="142"/>
    </row>
    <row r="12" spans="1:7" x14ac:dyDescent="0.25">
      <c r="A12" s="12" t="s">
        <v>276</v>
      </c>
      <c r="B12" s="7" t="s">
        <v>15</v>
      </c>
      <c r="C12" s="9">
        <v>10000</v>
      </c>
      <c r="D12" s="136"/>
      <c r="E12" s="136"/>
      <c r="F12" s="142"/>
      <c r="G12" s="147"/>
    </row>
    <row r="13" spans="1:7" x14ac:dyDescent="0.25">
      <c r="A13" s="3" t="s">
        <v>265</v>
      </c>
      <c r="B13" s="7" t="s">
        <v>15</v>
      </c>
      <c r="C13" s="9">
        <v>700</v>
      </c>
      <c r="G13" s="147"/>
    </row>
    <row r="14" spans="1:7" x14ac:dyDescent="0.25">
      <c r="A14" s="3" t="s">
        <v>266</v>
      </c>
      <c r="B14" s="7" t="s">
        <v>15</v>
      </c>
      <c r="C14" s="9">
        <v>130000</v>
      </c>
      <c r="G14" s="147"/>
    </row>
    <row r="15" spans="1:7" x14ac:dyDescent="0.25">
      <c r="A15" s="18" t="s">
        <v>267</v>
      </c>
      <c r="B15" s="7" t="s">
        <v>15</v>
      </c>
      <c r="C15" s="9">
        <v>150000</v>
      </c>
      <c r="G15" s="147"/>
    </row>
    <row r="16" spans="1:7" x14ac:dyDescent="0.25">
      <c r="A16" s="3" t="s">
        <v>81</v>
      </c>
      <c r="B16" s="7" t="s">
        <v>15</v>
      </c>
      <c r="C16" s="9">
        <v>120413</v>
      </c>
      <c r="G16" s="147"/>
    </row>
    <row r="17" spans="1:3" x14ac:dyDescent="0.25">
      <c r="A17" s="3" t="s">
        <v>228</v>
      </c>
      <c r="B17" s="7" t="s">
        <v>84</v>
      </c>
      <c r="C17" s="9">
        <v>12000</v>
      </c>
    </row>
    <row r="18" spans="1:3" x14ac:dyDescent="0.25">
      <c r="A18" s="3" t="s">
        <v>231</v>
      </c>
      <c r="B18" s="7" t="s">
        <v>260</v>
      </c>
      <c r="C18" s="9">
        <v>49975</v>
      </c>
    </row>
    <row r="19" spans="1:3" x14ac:dyDescent="0.25">
      <c r="A19" s="3" t="s">
        <v>234</v>
      </c>
      <c r="B19" s="7" t="s">
        <v>88</v>
      </c>
      <c r="C19" s="9">
        <v>80000</v>
      </c>
    </row>
    <row r="20" spans="1:3" x14ac:dyDescent="0.25">
      <c r="A20" s="3" t="s">
        <v>261</v>
      </c>
      <c r="B20" s="141" t="s">
        <v>88</v>
      </c>
      <c r="C20" s="9">
        <v>24037</v>
      </c>
    </row>
    <row r="21" spans="1:3" x14ac:dyDescent="0.25">
      <c r="A21" s="3" t="s">
        <v>236</v>
      </c>
      <c r="B21" s="141" t="s">
        <v>88</v>
      </c>
      <c r="C21" s="9">
        <v>30783.999938734483</v>
      </c>
    </row>
    <row r="22" spans="1:3" x14ac:dyDescent="0.25">
      <c r="A22" s="3" t="s">
        <v>237</v>
      </c>
      <c r="B22" s="7" t="s">
        <v>15</v>
      </c>
      <c r="C22" s="9">
        <v>380000</v>
      </c>
    </row>
    <row r="23" spans="1:3" x14ac:dyDescent="0.25">
      <c r="A23" s="3" t="s">
        <v>195</v>
      </c>
      <c r="B23" s="7" t="s">
        <v>88</v>
      </c>
      <c r="C23" s="9">
        <v>350000</v>
      </c>
    </row>
    <row r="24" spans="1:3" x14ac:dyDescent="0.25">
      <c r="A24" s="3" t="s">
        <v>197</v>
      </c>
      <c r="B24" s="7" t="s">
        <v>88</v>
      </c>
      <c r="C24" s="9">
        <v>450000</v>
      </c>
    </row>
    <row r="25" spans="1:3" x14ac:dyDescent="0.25">
      <c r="A25" s="3" t="s">
        <v>198</v>
      </c>
      <c r="B25" s="7" t="s">
        <v>88</v>
      </c>
      <c r="C25" s="9">
        <v>43083.170242852386</v>
      </c>
    </row>
    <row r="26" spans="1:3" x14ac:dyDescent="0.25">
      <c r="A26" s="3" t="s">
        <v>199</v>
      </c>
      <c r="B26" s="7" t="s">
        <v>15</v>
      </c>
      <c r="C26" s="9">
        <v>650</v>
      </c>
    </row>
    <row r="27" spans="1:3" x14ac:dyDescent="0.25">
      <c r="A27" s="3" t="s">
        <v>200</v>
      </c>
      <c r="B27" s="7" t="s">
        <v>214</v>
      </c>
      <c r="C27" s="9">
        <v>3842.5530216598077</v>
      </c>
    </row>
    <row r="28" spans="1:3" x14ac:dyDescent="0.25">
      <c r="A28" s="3" t="s">
        <v>202</v>
      </c>
      <c r="B28" s="7" t="s">
        <v>214</v>
      </c>
      <c r="C28" s="9">
        <v>52398.450295361014</v>
      </c>
    </row>
    <row r="29" spans="1:3" x14ac:dyDescent="0.25">
      <c r="A29" s="3" t="s">
        <v>213</v>
      </c>
      <c r="B29" s="141" t="s">
        <v>214</v>
      </c>
      <c r="C29" s="9">
        <v>56000</v>
      </c>
    </row>
    <row r="30" spans="1:3" x14ac:dyDescent="0.25">
      <c r="A30" s="3" t="s">
        <v>212</v>
      </c>
      <c r="B30" s="7" t="s">
        <v>15</v>
      </c>
      <c r="C30" s="9">
        <v>12500</v>
      </c>
    </row>
    <row r="31" spans="1:3" x14ac:dyDescent="0.25">
      <c r="A31" s="3" t="s">
        <v>48</v>
      </c>
      <c r="B31" s="7" t="s">
        <v>15</v>
      </c>
      <c r="C31" s="9">
        <v>29043</v>
      </c>
    </row>
    <row r="32" spans="1:3" ht="30" x14ac:dyDescent="0.25">
      <c r="A32" s="19" t="s">
        <v>53</v>
      </c>
      <c r="B32" s="7" t="s">
        <v>15</v>
      </c>
      <c r="C32" s="9">
        <v>80085</v>
      </c>
    </row>
    <row r="33" spans="1:3" ht="30" x14ac:dyDescent="0.25">
      <c r="A33" s="19" t="s">
        <v>54</v>
      </c>
      <c r="B33" s="7" t="s">
        <v>15</v>
      </c>
      <c r="C33" s="9">
        <v>151935</v>
      </c>
    </row>
    <row r="34" spans="1:3" x14ac:dyDescent="0.25">
      <c r="A34" s="143" t="s">
        <v>270</v>
      </c>
      <c r="B34" s="146"/>
      <c r="C34" s="145"/>
    </row>
    <row r="35" spans="1:3" x14ac:dyDescent="0.25">
      <c r="A35" s="3" t="s">
        <v>188</v>
      </c>
      <c r="B35" s="141" t="s">
        <v>259</v>
      </c>
      <c r="C35" s="9">
        <v>8496</v>
      </c>
    </row>
    <row r="36" spans="1:3" x14ac:dyDescent="0.25">
      <c r="A36" s="3" t="s">
        <v>226</v>
      </c>
      <c r="B36" s="141" t="s">
        <v>88</v>
      </c>
      <c r="C36" s="9">
        <v>3496</v>
      </c>
    </row>
    <row r="37" spans="1:3" x14ac:dyDescent="0.25">
      <c r="A37" s="3" t="s">
        <v>227</v>
      </c>
      <c r="B37" s="141" t="s">
        <v>259</v>
      </c>
      <c r="C37" s="9">
        <v>100000</v>
      </c>
    </row>
    <row r="38" spans="1:3" x14ac:dyDescent="0.25">
      <c r="A38" s="3" t="s">
        <v>269</v>
      </c>
      <c r="B38" s="141" t="s">
        <v>259</v>
      </c>
      <c r="C38" s="9">
        <v>185000</v>
      </c>
    </row>
    <row r="39" spans="1:3" x14ac:dyDescent="0.25">
      <c r="A39" s="3" t="s">
        <v>262</v>
      </c>
      <c r="B39" s="7" t="s">
        <v>259</v>
      </c>
      <c r="C39" s="9">
        <v>25000</v>
      </c>
    </row>
    <row r="40" spans="1:3" x14ac:dyDescent="0.25">
      <c r="A40" s="3" t="s">
        <v>208</v>
      </c>
      <c r="B40" s="7" t="s">
        <v>259</v>
      </c>
      <c r="C40" s="9">
        <v>200000</v>
      </c>
    </row>
    <row r="41" spans="1:3" x14ac:dyDescent="0.25">
      <c r="A41" s="3" t="s">
        <v>210</v>
      </c>
      <c r="B41" s="7" t="s">
        <v>259</v>
      </c>
      <c r="C41" s="9">
        <v>45000</v>
      </c>
    </row>
    <row r="42" spans="1:3" x14ac:dyDescent="0.25">
      <c r="A42" s="143" t="s">
        <v>271</v>
      </c>
      <c r="B42" s="146"/>
      <c r="C42" s="145"/>
    </row>
    <row r="43" spans="1:3" x14ac:dyDescent="0.25">
      <c r="A43" s="19" t="s">
        <v>190</v>
      </c>
      <c r="B43" s="7" t="s">
        <v>254</v>
      </c>
      <c r="C43" s="9">
        <v>67000</v>
      </c>
    </row>
    <row r="44" spans="1:3" x14ac:dyDescent="0.25">
      <c r="A44" s="12" t="s">
        <v>272</v>
      </c>
      <c r="B44" s="7" t="s">
        <v>254</v>
      </c>
      <c r="C44" s="9">
        <v>269850</v>
      </c>
    </row>
    <row r="45" spans="1:3" x14ac:dyDescent="0.25">
      <c r="A45" s="12" t="s">
        <v>274</v>
      </c>
      <c r="B45" s="7" t="s">
        <v>273</v>
      </c>
      <c r="C45" s="9">
        <v>4500000</v>
      </c>
    </row>
    <row r="46" spans="1:3" x14ac:dyDescent="0.25">
      <c r="A46" s="12" t="s">
        <v>275</v>
      </c>
      <c r="B46" s="7" t="s">
        <v>273</v>
      </c>
      <c r="C46" s="9">
        <v>2500000</v>
      </c>
    </row>
  </sheetData>
  <mergeCells count="2">
    <mergeCell ref="A3:C3"/>
    <mergeCell ref="A2:C2"/>
  </mergeCells>
  <pageMargins left="0.7" right="0.7" top="0.75" bottom="0.75" header="0.3" footer="0.3"/>
  <pageSetup paperSize="9" scale="90"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51"/>
  <sheetViews>
    <sheetView topLeftCell="A4" zoomScale="85" zoomScaleNormal="85" zoomScaleSheetLayoutView="55" workbookViewId="0">
      <pane xSplit="21930" topLeftCell="R1"/>
      <selection activeCell="D27" sqref="D27"/>
      <selection pane="topRight" activeCell="S40" sqref="S40"/>
    </sheetView>
  </sheetViews>
  <sheetFormatPr baseColWidth="10" defaultColWidth="11.5703125" defaultRowHeight="15" x14ac:dyDescent="0.25"/>
  <cols>
    <col min="1" max="1" width="5" style="180" customWidth="1"/>
    <col min="2" max="2" width="11.7109375" style="180" bestFit="1" customWidth="1"/>
    <col min="3" max="3" width="75.28515625" style="180" customWidth="1"/>
    <col min="4" max="4" width="11.7109375" style="180" bestFit="1" customWidth="1"/>
    <col min="5" max="5" width="14" style="180" bestFit="1" customWidth="1"/>
    <col min="6" max="6" width="15.85546875" style="180" customWidth="1"/>
    <col min="7" max="7" width="15.28515625" style="180" bestFit="1" customWidth="1"/>
    <col min="8" max="8" width="1.140625" style="180" customWidth="1"/>
    <col min="9" max="16384" width="11.5703125" style="180"/>
  </cols>
  <sheetData>
    <row r="3" spans="2:8" x14ac:dyDescent="0.25">
      <c r="B3" s="391" t="s">
        <v>417</v>
      </c>
      <c r="C3" s="391"/>
      <c r="D3" s="391"/>
      <c r="E3" s="391"/>
      <c r="F3" s="391"/>
      <c r="G3" s="391"/>
    </row>
    <row r="4" spans="2:8" x14ac:dyDescent="0.25">
      <c r="B4" s="391" t="s">
        <v>431</v>
      </c>
      <c r="C4" s="391"/>
      <c r="D4" s="391"/>
      <c r="E4" s="391"/>
      <c r="F4" s="391"/>
      <c r="G4" s="391"/>
    </row>
    <row r="5" spans="2:8" ht="15" customHeight="1" x14ac:dyDescent="0.25">
      <c r="B5" s="394" t="str">
        <f>+'Formulario_1 Inter'!$B$5</f>
        <v>C.PU.- EMSERCOTA-002-2019</v>
      </c>
      <c r="C5" s="394"/>
      <c r="D5" s="394"/>
      <c r="E5" s="394"/>
      <c r="F5" s="394"/>
      <c r="G5" s="394"/>
      <c r="H5" s="328"/>
    </row>
    <row r="6" spans="2:8" ht="45" customHeight="1" x14ac:dyDescent="0.25">
      <c r="B6" s="388" t="str">
        <f>+'Formulario_1 Inter'!B7</f>
        <v>REALIZAR LA CONSTRUCCION DE LA INFRAESTRUCTURA PARA EL ABASTECIMIENTO DE AGUA POTABLE MEDIANTE LA INTERCONEXIÓN AL SISTEMA DE ACUEDUCTO OPERADO POR LA EMPRESA DE ACUEDUCTO DE BOGOTÁ SA E.S.P. AL MUNICIPIO DE COTA – PRIMERA ETAPA</v>
      </c>
      <c r="C6" s="388"/>
      <c r="D6" s="388"/>
      <c r="E6" s="388"/>
      <c r="F6" s="388"/>
      <c r="G6" s="388"/>
      <c r="H6" s="328"/>
    </row>
    <row r="7" spans="2:8" x14ac:dyDescent="0.25">
      <c r="F7" s="397"/>
      <c r="G7" s="397"/>
    </row>
    <row r="8" spans="2:8" x14ac:dyDescent="0.25">
      <c r="B8" s="398" t="s">
        <v>468</v>
      </c>
      <c r="C8" s="398"/>
      <c r="D8" s="398"/>
      <c r="E8" s="398"/>
      <c r="F8" s="398"/>
      <c r="G8" s="398"/>
    </row>
    <row r="9" spans="2:8" ht="30" x14ac:dyDescent="0.25">
      <c r="B9" s="329" t="str">
        <f>+[19]Tanque!$A$4</f>
        <v>Código IDU</v>
      </c>
      <c r="C9" s="329" t="s">
        <v>5</v>
      </c>
      <c r="D9" s="329" t="s">
        <v>6</v>
      </c>
      <c r="E9" s="330" t="s">
        <v>7</v>
      </c>
      <c r="F9" s="330" t="s">
        <v>279</v>
      </c>
      <c r="G9" s="330" t="s">
        <v>280</v>
      </c>
    </row>
    <row r="10" spans="2:8" x14ac:dyDescent="0.25">
      <c r="B10" s="169"/>
      <c r="C10" s="169"/>
      <c r="D10" s="141"/>
      <c r="E10" s="141"/>
      <c r="F10" s="207"/>
      <c r="G10" s="207"/>
    </row>
    <row r="11" spans="2:8" x14ac:dyDescent="0.25">
      <c r="B11" s="331">
        <f>+[19]Tanque!A5</f>
        <v>3007</v>
      </c>
      <c r="C11" s="243" t="s">
        <v>588</v>
      </c>
      <c r="D11" s="141" t="str">
        <f>+[19]Tanque!C5</f>
        <v>m2</v>
      </c>
      <c r="E11" s="323">
        <v>313.63</v>
      </c>
      <c r="F11" s="207">
        <v>0</v>
      </c>
      <c r="G11" s="209">
        <f>+E11*F11</f>
        <v>0</v>
      </c>
    </row>
    <row r="12" spans="2:8" x14ac:dyDescent="0.25">
      <c r="B12" s="331">
        <f>+[19]Tanque!A6</f>
        <v>3464</v>
      </c>
      <c r="C12" s="243" t="s">
        <v>589</v>
      </c>
      <c r="D12" s="141" t="str">
        <f>+[19]Tanque!C6</f>
        <v>m3</v>
      </c>
      <c r="E12" s="323">
        <v>2833.9</v>
      </c>
      <c r="F12" s="207">
        <v>0</v>
      </c>
      <c r="G12" s="209">
        <f t="shared" ref="G12:G21" si="0">+E12*F12</f>
        <v>0</v>
      </c>
    </row>
    <row r="13" spans="2:8" ht="45" x14ac:dyDescent="0.25">
      <c r="B13" s="331">
        <f>+[19]Tanque!A7</f>
        <v>3017</v>
      </c>
      <c r="C13" s="243" t="s">
        <v>590</v>
      </c>
      <c r="D13" s="326" t="str">
        <f>+[19]Tanque!C7</f>
        <v>m3</v>
      </c>
      <c r="E13" s="323">
        <v>498.86</v>
      </c>
      <c r="F13" s="209">
        <v>0</v>
      </c>
      <c r="G13" s="209">
        <f t="shared" si="0"/>
        <v>0</v>
      </c>
    </row>
    <row r="14" spans="2:8" ht="30" x14ac:dyDescent="0.25">
      <c r="B14" s="331">
        <f>+[19]Tanque!A8</f>
        <v>4838</v>
      </c>
      <c r="C14" s="243" t="s">
        <v>591</v>
      </c>
      <c r="D14" s="333" t="str">
        <f>+[19]Tanque!C8</f>
        <v>m3</v>
      </c>
      <c r="E14" s="323">
        <v>399.09</v>
      </c>
      <c r="F14" s="209">
        <v>0</v>
      </c>
      <c r="G14" s="209">
        <f t="shared" si="0"/>
        <v>0</v>
      </c>
    </row>
    <row r="15" spans="2:8" x14ac:dyDescent="0.25">
      <c r="B15" s="331">
        <f>+[19]Tanque!A9</f>
        <v>4010</v>
      </c>
      <c r="C15" s="243" t="s">
        <v>592</v>
      </c>
      <c r="D15" s="141" t="str">
        <f>+[19]Tanque!C9</f>
        <v>m2</v>
      </c>
      <c r="E15" s="323">
        <v>809.2</v>
      </c>
      <c r="F15" s="207">
        <v>0</v>
      </c>
      <c r="G15" s="209">
        <f t="shared" si="0"/>
        <v>0</v>
      </c>
    </row>
    <row r="16" spans="2:8" x14ac:dyDescent="0.25">
      <c r="B16" s="331">
        <f>+[19]Tanque!A10</f>
        <v>3729</v>
      </c>
      <c r="C16" s="243" t="s">
        <v>593</v>
      </c>
      <c r="D16" s="141" t="str">
        <f>+[19]Tanque!C10</f>
        <v>m3</v>
      </c>
      <c r="E16" s="323">
        <v>15.68</v>
      </c>
      <c r="F16" s="207">
        <v>0</v>
      </c>
      <c r="G16" s="209">
        <f t="shared" si="0"/>
        <v>0</v>
      </c>
    </row>
    <row r="17" spans="2:7" x14ac:dyDescent="0.25">
      <c r="B17" s="331">
        <f>+[19]Tanque!A11</f>
        <v>3708</v>
      </c>
      <c r="C17" s="243" t="s">
        <v>594</v>
      </c>
      <c r="D17" s="141" t="str">
        <f>+[19]Tanque!C11</f>
        <v>kg</v>
      </c>
      <c r="E17" s="323">
        <v>100953.52</v>
      </c>
      <c r="F17" s="207">
        <v>0</v>
      </c>
      <c r="G17" s="209">
        <f t="shared" si="0"/>
        <v>0</v>
      </c>
    </row>
    <row r="18" spans="2:7" ht="45" x14ac:dyDescent="0.25">
      <c r="B18" s="331">
        <f>+[19]Tanque!A12</f>
        <v>6766</v>
      </c>
      <c r="C18" s="243" t="s">
        <v>595</v>
      </c>
      <c r="D18" s="333" t="str">
        <f>+[19]Tanque!C12</f>
        <v>m3</v>
      </c>
      <c r="E18" s="323">
        <v>371.93</v>
      </c>
      <c r="F18" s="209">
        <v>0</v>
      </c>
      <c r="G18" s="209">
        <f t="shared" si="0"/>
        <v>0</v>
      </c>
    </row>
    <row r="19" spans="2:7" ht="30" x14ac:dyDescent="0.25">
      <c r="B19" s="331">
        <f>+[19]Tanque!A13</f>
        <v>7680</v>
      </c>
      <c r="C19" s="243" t="s">
        <v>596</v>
      </c>
      <c r="D19" s="333" t="str">
        <f>+[19]Tanque!C13</f>
        <v>m3</v>
      </c>
      <c r="E19" s="323">
        <v>0.85</v>
      </c>
      <c r="F19" s="209">
        <v>0</v>
      </c>
      <c r="G19" s="209">
        <f t="shared" si="0"/>
        <v>0</v>
      </c>
    </row>
    <row r="20" spans="2:7" ht="30" x14ac:dyDescent="0.25">
      <c r="B20" s="331">
        <f>+[19]Tanque!A14</f>
        <v>5072</v>
      </c>
      <c r="C20" s="243" t="s">
        <v>597</v>
      </c>
      <c r="D20" s="333" t="str">
        <f>+[19]Tanque!C14</f>
        <v>m3</v>
      </c>
      <c r="E20" s="323">
        <v>2.5</v>
      </c>
      <c r="F20" s="209">
        <v>0</v>
      </c>
      <c r="G20" s="209">
        <f t="shared" si="0"/>
        <v>0</v>
      </c>
    </row>
    <row r="21" spans="2:7" ht="30" x14ac:dyDescent="0.25">
      <c r="B21" s="331">
        <f>+[19]Tanque!A15</f>
        <v>3050</v>
      </c>
      <c r="C21" s="243" t="s">
        <v>598</v>
      </c>
      <c r="D21" s="333" t="str">
        <f>+[19]Tanque!C15</f>
        <v>m3</v>
      </c>
      <c r="E21" s="323">
        <v>798.8</v>
      </c>
      <c r="F21" s="209">
        <v>0</v>
      </c>
      <c r="G21" s="209">
        <f t="shared" si="0"/>
        <v>0</v>
      </c>
    </row>
    <row r="22" spans="2:7" ht="14.45" customHeight="1" x14ac:dyDescent="0.25">
      <c r="B22" s="344"/>
      <c r="C22" s="35"/>
      <c r="D22" s="345"/>
      <c r="E22" s="340"/>
      <c r="F22" s="346"/>
      <c r="G22" s="347"/>
    </row>
    <row r="23" spans="2:7" x14ac:dyDescent="0.25">
      <c r="B23" s="348"/>
      <c r="C23" s="11" t="s">
        <v>17</v>
      </c>
      <c r="D23" s="348"/>
      <c r="E23" s="348"/>
      <c r="F23" s="348"/>
      <c r="G23" s="349">
        <f>SUM(G11:G22)</f>
        <v>0</v>
      </c>
    </row>
    <row r="24" spans="2:7" x14ac:dyDescent="0.25">
      <c r="B24" s="348"/>
      <c r="C24" s="11" t="s">
        <v>458</v>
      </c>
      <c r="D24" s="350">
        <v>0</v>
      </c>
      <c r="E24" s="348"/>
      <c r="F24" s="348"/>
      <c r="G24" s="349">
        <f>+G23*D24</f>
        <v>0</v>
      </c>
    </row>
    <row r="25" spans="2:7" x14ac:dyDescent="0.25">
      <c r="B25" s="348"/>
      <c r="C25" s="11" t="s">
        <v>459</v>
      </c>
      <c r="D25" s="350">
        <v>0</v>
      </c>
      <c r="E25" s="348"/>
      <c r="F25" s="348"/>
      <c r="G25" s="349">
        <f>+G23*D25</f>
        <v>0</v>
      </c>
    </row>
    <row r="26" spans="2:7" x14ac:dyDescent="0.25">
      <c r="B26" s="348"/>
      <c r="C26" s="11" t="s">
        <v>181</v>
      </c>
      <c r="D26" s="350">
        <v>0</v>
      </c>
      <c r="E26" s="348"/>
      <c r="F26" s="348"/>
      <c r="G26" s="349">
        <f>+G23*D26</f>
        <v>0</v>
      </c>
    </row>
    <row r="27" spans="2:7" x14ac:dyDescent="0.25">
      <c r="B27" s="348"/>
      <c r="C27" s="11" t="s">
        <v>183</v>
      </c>
      <c r="D27" s="350">
        <v>0.19</v>
      </c>
      <c r="E27" s="348"/>
      <c r="F27" s="348"/>
      <c r="G27" s="349">
        <f>+G25*D27</f>
        <v>0</v>
      </c>
    </row>
    <row r="28" spans="2:7" x14ac:dyDescent="0.25">
      <c r="B28" s="348"/>
      <c r="C28" s="11" t="s">
        <v>19</v>
      </c>
      <c r="D28" s="348"/>
      <c r="E28" s="348"/>
      <c r="F28" s="348"/>
      <c r="G28" s="353">
        <f>+G23+G24+G25+G26+G27</f>
        <v>0</v>
      </c>
    </row>
    <row r="29" spans="2:7" x14ac:dyDescent="0.25">
      <c r="B29" s="348"/>
      <c r="C29" s="11"/>
      <c r="D29" s="348"/>
      <c r="E29" s="348"/>
      <c r="F29" s="348"/>
      <c r="G29" s="353"/>
    </row>
    <row r="30" spans="2:7" hidden="1" x14ac:dyDescent="0.25">
      <c r="B30" s="348"/>
      <c r="C30" s="11" t="s">
        <v>426</v>
      </c>
      <c r="D30" s="348"/>
      <c r="E30" s="348"/>
      <c r="F30" s="332">
        <v>7.0000000000000007E-2</v>
      </c>
      <c r="G30" s="353">
        <f>+G28*F30</f>
        <v>0</v>
      </c>
    </row>
    <row r="31" spans="2:7" hidden="1" x14ac:dyDescent="0.25">
      <c r="B31" s="348"/>
      <c r="C31" s="11"/>
      <c r="D31" s="348"/>
      <c r="E31" s="348"/>
      <c r="F31" s="348"/>
      <c r="G31" s="353"/>
    </row>
    <row r="32" spans="2:7" hidden="1" x14ac:dyDescent="0.25">
      <c r="B32" s="348"/>
      <c r="C32" s="11" t="s">
        <v>4</v>
      </c>
      <c r="D32" s="348"/>
      <c r="E32" s="348"/>
      <c r="F32" s="348"/>
      <c r="G32" s="353">
        <f>+G30+G28</f>
        <v>0</v>
      </c>
    </row>
    <row r="33" spans="2:8" hidden="1" x14ac:dyDescent="0.25">
      <c r="B33" s="348"/>
      <c r="C33" s="11"/>
      <c r="D33" s="348"/>
      <c r="E33" s="348"/>
      <c r="F33" s="348"/>
      <c r="G33" s="353"/>
    </row>
    <row r="34" spans="2:8" x14ac:dyDescent="0.25">
      <c r="C34" s="11"/>
    </row>
    <row r="35" spans="2:8" x14ac:dyDescent="0.25">
      <c r="C35" s="11"/>
    </row>
    <row r="36" spans="2:8" x14ac:dyDescent="0.25">
      <c r="C36" s="11"/>
    </row>
    <row r="38" spans="2:8" x14ac:dyDescent="0.25">
      <c r="F38" s="354"/>
      <c r="G38" s="349"/>
    </row>
    <row r="39" spans="2:8" x14ac:dyDescent="0.25">
      <c r="E39" s="355"/>
    </row>
    <row r="40" spans="2:8" x14ac:dyDescent="0.25">
      <c r="F40" s="188"/>
    </row>
    <row r="42" spans="2:8" x14ac:dyDescent="0.25">
      <c r="E42" s="352"/>
      <c r="F42" s="351"/>
      <c r="G42" s="351"/>
      <c r="H42" s="352"/>
    </row>
    <row r="43" spans="2:8" x14ac:dyDescent="0.25">
      <c r="E43" s="352"/>
      <c r="F43" s="353"/>
      <c r="G43" s="356"/>
      <c r="H43" s="351"/>
    </row>
    <row r="44" spans="2:8" x14ac:dyDescent="0.25">
      <c r="E44" s="352"/>
      <c r="F44" s="353"/>
      <c r="G44" s="356"/>
      <c r="H44" s="351"/>
    </row>
    <row r="45" spans="2:8" x14ac:dyDescent="0.25">
      <c r="E45" s="352"/>
      <c r="F45" s="353"/>
      <c r="G45" s="356"/>
      <c r="H45" s="351"/>
    </row>
    <row r="46" spans="2:8" x14ac:dyDescent="0.25">
      <c r="E46" s="352"/>
    </row>
    <row r="47" spans="2:8" x14ac:dyDescent="0.25">
      <c r="E47" s="352"/>
    </row>
    <row r="48" spans="2:8" x14ac:dyDescent="0.25">
      <c r="E48" s="352"/>
    </row>
    <row r="49" spans="5:7" x14ac:dyDescent="0.25">
      <c r="E49" s="352"/>
    </row>
    <row r="51" spans="5:7" x14ac:dyDescent="0.25">
      <c r="F51" s="353"/>
      <c r="G51" s="356"/>
    </row>
  </sheetData>
  <mergeCells count="6">
    <mergeCell ref="B8:G8"/>
    <mergeCell ref="B3:G3"/>
    <mergeCell ref="B4:G4"/>
    <mergeCell ref="B5:G5"/>
    <mergeCell ref="B6:G6"/>
    <mergeCell ref="F7:G7"/>
  </mergeCells>
  <pageMargins left="0.70866141732283472" right="0.70866141732283472" top="0.74803149606299213" bottom="0.74803149606299213" header="0.31496062992125984" footer="0.31496062992125984"/>
  <pageSetup scale="6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T184"/>
  <sheetViews>
    <sheetView topLeftCell="A77" zoomScaleNormal="100" zoomScaleSheetLayoutView="70" workbookViewId="0">
      <selection activeCell="BV180" sqref="BV180"/>
    </sheetView>
  </sheetViews>
  <sheetFormatPr baseColWidth="10" defaultColWidth="11.5703125" defaultRowHeight="15" x14ac:dyDescent="0.25"/>
  <cols>
    <col min="1" max="1" width="5" style="165" customWidth="1"/>
    <col min="2" max="2" width="11.5703125" style="165"/>
    <col min="3" max="3" width="80.7109375" style="165" customWidth="1"/>
    <col min="4" max="4" width="11.5703125" style="165"/>
    <col min="5" max="5" width="13.85546875" style="165" bestFit="1" customWidth="1"/>
    <col min="6" max="6" width="15.85546875" style="165" customWidth="1"/>
    <col min="7" max="7" width="15.140625" style="165" bestFit="1" customWidth="1"/>
    <col min="8" max="8" width="1.140625" style="165" customWidth="1"/>
    <col min="9" max="9" width="15.5703125" style="165" hidden="1" customWidth="1"/>
    <col min="10" max="10" width="13.7109375" style="165" hidden="1" customWidth="1"/>
    <col min="11" max="11" width="0" style="165" hidden="1" customWidth="1"/>
    <col min="12" max="12" width="12.7109375" style="165" hidden="1" customWidth="1"/>
    <col min="13" max="14" width="0" style="165" hidden="1" customWidth="1"/>
    <col min="15" max="15" width="12.5703125" style="165" hidden="1" customWidth="1"/>
    <col min="16" max="16" width="14.85546875" style="165" hidden="1" customWidth="1"/>
    <col min="17" max="18" width="0" style="165" hidden="1" customWidth="1"/>
    <col min="19" max="20" width="15.7109375" style="165" hidden="1" customWidth="1"/>
    <col min="21" max="44" width="0" style="165" hidden="1" customWidth="1"/>
    <col min="45" max="16384" width="11.5703125" style="165"/>
  </cols>
  <sheetData>
    <row r="3" spans="2:20" x14ac:dyDescent="0.25">
      <c r="B3" s="396" t="s">
        <v>417</v>
      </c>
      <c r="C3" s="396"/>
      <c r="D3" s="396"/>
      <c r="E3" s="396"/>
      <c r="F3" s="396"/>
      <c r="G3" s="396"/>
    </row>
    <row r="4" spans="2:20" x14ac:dyDescent="0.25">
      <c r="B4" s="396" t="s">
        <v>431</v>
      </c>
      <c r="C4" s="396"/>
      <c r="D4" s="396"/>
      <c r="E4" s="396"/>
      <c r="F4" s="396"/>
      <c r="G4" s="396"/>
    </row>
    <row r="5" spans="2:20" ht="15" customHeight="1" x14ac:dyDescent="0.25">
      <c r="B5" s="394" t="str">
        <f>+'Formulario_1 Inter'!$B$5</f>
        <v>C.PU.- EMSERCOTA-002-2019</v>
      </c>
      <c r="C5" s="394"/>
      <c r="D5" s="394"/>
      <c r="E5" s="394"/>
      <c r="F5" s="394"/>
      <c r="G5" s="394"/>
      <c r="H5" s="5"/>
    </row>
    <row r="6" spans="2:20" ht="45" customHeight="1" x14ac:dyDescent="0.25">
      <c r="B6" s="394" t="str">
        <f>+'Formulario_1 Inter'!B7</f>
        <v>REALIZAR LA CONSTRUCCION DE LA INFRAESTRUCTURA PARA EL ABASTECIMIENTO DE AGUA POTABLE MEDIANTE LA INTERCONEXIÓN AL SISTEMA DE ACUEDUCTO OPERADO POR LA EMPRESA DE ACUEDUCTO DE BOGOTÁ SA E.S.P. AL MUNICIPIO DE COTA – PRIMERA ETAPA</v>
      </c>
      <c r="C6" s="394"/>
      <c r="D6" s="394"/>
      <c r="E6" s="394"/>
      <c r="F6" s="394"/>
      <c r="G6" s="394"/>
      <c r="H6" s="5"/>
    </row>
    <row r="7" spans="2:20" x14ac:dyDescent="0.25">
      <c r="F7" s="397"/>
      <c r="G7" s="397"/>
    </row>
    <row r="8" spans="2:20" x14ac:dyDescent="0.25">
      <c r="B8" s="398" t="s">
        <v>584</v>
      </c>
      <c r="C8" s="398"/>
      <c r="D8" s="398"/>
      <c r="E8" s="398"/>
      <c r="F8" s="398"/>
      <c r="G8" s="398"/>
    </row>
    <row r="9" spans="2:20" ht="30" x14ac:dyDescent="0.25">
      <c r="B9" s="329" t="str">
        <f>+[19]Tanque!$A$4</f>
        <v>Código IDU</v>
      </c>
      <c r="C9" s="329" t="s">
        <v>5</v>
      </c>
      <c r="D9" s="329" t="s">
        <v>6</v>
      </c>
      <c r="E9" s="330" t="s">
        <v>7</v>
      </c>
      <c r="F9" s="330" t="s">
        <v>279</v>
      </c>
      <c r="G9" s="330" t="s">
        <v>280</v>
      </c>
      <c r="S9" s="316" t="str">
        <f>+F9</f>
        <v>VALOR UNITARIO</v>
      </c>
      <c r="T9" s="316" t="s">
        <v>450</v>
      </c>
    </row>
    <row r="10" spans="2:20" x14ac:dyDescent="0.25">
      <c r="B10" s="169"/>
      <c r="C10" s="169"/>
      <c r="D10" s="141"/>
      <c r="E10" s="141"/>
      <c r="F10" s="207"/>
      <c r="G10" s="207"/>
    </row>
    <row r="11" spans="2:20" x14ac:dyDescent="0.25">
      <c r="B11" s="364" t="s">
        <v>497</v>
      </c>
      <c r="C11" s="14" t="s">
        <v>471</v>
      </c>
      <c r="D11" s="141"/>
      <c r="E11" s="141"/>
      <c r="F11" s="207"/>
      <c r="G11" s="322">
        <f>SUM(G12:G27)</f>
        <v>0</v>
      </c>
    </row>
    <row r="12" spans="2:20" x14ac:dyDescent="0.25">
      <c r="B12" s="324">
        <f>+[19]Estación!A5</f>
        <v>3007</v>
      </c>
      <c r="C12" s="243" t="str">
        <f>+[19]Estación!B5</f>
        <v>Replanteo general</v>
      </c>
      <c r="D12" s="141" t="str">
        <f>+[19]Estación!C5</f>
        <v>m2</v>
      </c>
      <c r="E12" s="323">
        <v>211.62</v>
      </c>
      <c r="F12" s="207">
        <v>0</v>
      </c>
      <c r="G12" s="209">
        <f>+E12*F12</f>
        <v>0</v>
      </c>
      <c r="I12" s="293">
        <f t="shared" ref="I12:I17" si="0">+G12/$G$156</f>
        <v>0</v>
      </c>
      <c r="J12" s="238">
        <f>+G12+G33</f>
        <v>0</v>
      </c>
      <c r="T12" s="311">
        <f>SUM(T13:T17)</f>
        <v>143078271.48000002</v>
      </c>
    </row>
    <row r="13" spans="2:20" s="180" customFormat="1" x14ac:dyDescent="0.25">
      <c r="B13" s="324">
        <f>+[19]Estación!A6</f>
        <v>3464</v>
      </c>
      <c r="C13" s="243" t="str">
        <f>+[19]Estación!B6</f>
        <v>Excavación manual en material común (Incluye cargue)</v>
      </c>
      <c r="D13" s="141" t="str">
        <f>+[19]Estación!C6</f>
        <v>m3</v>
      </c>
      <c r="E13" s="323">
        <v>3292.05</v>
      </c>
      <c r="F13" s="207">
        <v>0</v>
      </c>
      <c r="G13" s="209">
        <f t="shared" ref="G13:G27" si="1">+E13*F13</f>
        <v>0</v>
      </c>
      <c r="I13" s="332" t="e">
        <f t="shared" si="0"/>
        <v>#DIV/0!</v>
      </c>
      <c r="J13" s="434">
        <f>+J12*1.3</f>
        <v>0</v>
      </c>
      <c r="S13" s="435">
        <f>+'[31]TRAMO 3'!$H$450</f>
        <v>29454</v>
      </c>
      <c r="T13" s="435">
        <f>+S13*E13</f>
        <v>96964040.700000003</v>
      </c>
    </row>
    <row r="14" spans="2:20" s="180" customFormat="1" ht="45" x14ac:dyDescent="0.25">
      <c r="B14" s="324">
        <f>+[19]Estación!A7</f>
        <v>3017</v>
      </c>
      <c r="C14" s="243" t="str">
        <f>+[19]Estación!B7</f>
        <v>Transporte y disposición final de escombros en sitio autorizado (Distancia de transporte 21 km). a distancia mayor del acarreo libre (90 m) en sitio autorizado por la entidad ambiental competente</v>
      </c>
      <c r="D14" s="141" t="str">
        <f>+[19]Estación!C7</f>
        <v>m3</v>
      </c>
      <c r="E14" s="323">
        <v>374.85</v>
      </c>
      <c r="F14" s="207">
        <v>0</v>
      </c>
      <c r="G14" s="209">
        <f t="shared" si="1"/>
        <v>0</v>
      </c>
      <c r="I14" s="332">
        <f t="shared" si="0"/>
        <v>0</v>
      </c>
    </row>
    <row r="15" spans="2:20" s="180" customFormat="1" ht="30" x14ac:dyDescent="0.25">
      <c r="B15" s="324">
        <f>+[19]Estación!A8</f>
        <v>4838</v>
      </c>
      <c r="C15" s="243" t="str">
        <f>+[19]Estación!B8</f>
        <v>Relleno con grava entre 3/4" y 1/2" para filtros (relación 1:1) suministro y colocación. (Incluye transporte, suministro, extendido manual y colocación)</v>
      </c>
      <c r="D15" s="141" t="str">
        <f>+[19]Estación!C8</f>
        <v>m3</v>
      </c>
      <c r="E15" s="323">
        <v>299.88</v>
      </c>
      <c r="F15" s="207">
        <v>0</v>
      </c>
      <c r="G15" s="209">
        <f t="shared" si="1"/>
        <v>0</v>
      </c>
      <c r="I15" s="332">
        <f t="shared" si="0"/>
        <v>0</v>
      </c>
      <c r="S15" s="435">
        <f>+'[31]TRAMO 3'!$H$67</f>
        <v>22328</v>
      </c>
      <c r="T15" s="435">
        <f>+S15*E15</f>
        <v>6695720.6399999997</v>
      </c>
    </row>
    <row r="16" spans="2:20" s="180" customFormat="1" x14ac:dyDescent="0.25">
      <c r="B16" s="324">
        <f>+[19]Estación!A9</f>
        <v>4010</v>
      </c>
      <c r="C16" s="243" t="str">
        <f>+[19]Estación!B9</f>
        <v>Geotextil nt 4000 para subdrenes/filtros (incluye suministro e instalación)</v>
      </c>
      <c r="D16" s="141" t="str">
        <f>+[19]Estación!C9</f>
        <v>m2</v>
      </c>
      <c r="E16" s="323">
        <v>687.96</v>
      </c>
      <c r="F16" s="207">
        <v>0</v>
      </c>
      <c r="G16" s="209">
        <f t="shared" si="1"/>
        <v>0</v>
      </c>
      <c r="I16" s="332">
        <f t="shared" si="0"/>
        <v>0</v>
      </c>
      <c r="S16" s="435">
        <f>+'[31]TRAMO 3'!$H$448</f>
        <v>55834</v>
      </c>
      <c r="T16" s="435">
        <f>+S16*E16</f>
        <v>38411558.640000001</v>
      </c>
    </row>
    <row r="17" spans="2:20" s="180" customFormat="1" x14ac:dyDescent="0.25">
      <c r="B17" s="324">
        <f>+[19]Estación!A10</f>
        <v>3729</v>
      </c>
      <c r="C17" s="243" t="str">
        <f>+[19]Estación!B10</f>
        <v>Concreto 14 MPa para solados (Premezclado. Incluye suministro y colocación)</v>
      </c>
      <c r="D17" s="141" t="str">
        <f>+[19]Estación!C10</f>
        <v>m3</v>
      </c>
      <c r="E17" s="323">
        <v>10.58</v>
      </c>
      <c r="F17" s="207">
        <v>0</v>
      </c>
      <c r="G17" s="209">
        <f t="shared" si="1"/>
        <v>0</v>
      </c>
      <c r="I17" s="332" t="e">
        <f t="shared" si="0"/>
        <v>#DIV/0!</v>
      </c>
      <c r="S17" s="435">
        <f>+'[31]TRAMO 3'!$H$258</f>
        <v>95175</v>
      </c>
      <c r="T17" s="435">
        <f>+S17*E17</f>
        <v>1006951.5</v>
      </c>
    </row>
    <row r="18" spans="2:20" s="180" customFormat="1" x14ac:dyDescent="0.25">
      <c r="B18" s="324">
        <f>+[19]Estación!A11</f>
        <v>3708</v>
      </c>
      <c r="C18" s="243" t="str">
        <f>+[19]Estación!B11</f>
        <v>Acero de refuerzo (Incluye suministro, figurado y fijación)</v>
      </c>
      <c r="D18" s="141" t="str">
        <f>+[19]Estación!C11</f>
        <v>kg</v>
      </c>
      <c r="E18" s="323">
        <v>28293.56</v>
      </c>
      <c r="F18" s="207">
        <v>0</v>
      </c>
      <c r="G18" s="209">
        <f t="shared" si="1"/>
        <v>0</v>
      </c>
      <c r="I18" s="332"/>
    </row>
    <row r="19" spans="2:20" s="180" customFormat="1" ht="30" x14ac:dyDescent="0.25">
      <c r="B19" s="324">
        <f>+[19]Estación!A12</f>
        <v>6771</v>
      </c>
      <c r="C19" s="243" t="str">
        <f>+[19]Estación!B12</f>
        <v>concreto 4000 psi (28 mpa) para losa de cimentacion reforzadas (premezclado. incluye suministro, formaleteo, colocación y curado. no incluye refuerzo)</v>
      </c>
      <c r="D19" s="141" t="str">
        <f>+[19]Estación!C12</f>
        <v>m3</v>
      </c>
      <c r="E19" s="323">
        <v>105.81</v>
      </c>
      <c r="F19" s="207">
        <v>0</v>
      </c>
      <c r="G19" s="209">
        <f t="shared" si="1"/>
        <v>0</v>
      </c>
      <c r="I19" s="332"/>
    </row>
    <row r="20" spans="2:20" s="180" customFormat="1" ht="30" x14ac:dyDescent="0.25">
      <c r="B20" s="324">
        <f>+[19]Estación!A13</f>
        <v>5422</v>
      </c>
      <c r="C20" s="243" t="str">
        <f>+[19]Estación!B13</f>
        <v>Concreto 4000 psi para muro de contención (premezclado. incl. suministro, formaleteo y colocación. No incl. refuerzoo).  Para trabajos en altura mayores a 1.50 m</v>
      </c>
      <c r="D20" s="141" t="str">
        <f>+[19]Estación!C13</f>
        <v>m3</v>
      </c>
      <c r="E20" s="323">
        <v>65.62</v>
      </c>
      <c r="F20" s="207">
        <v>0</v>
      </c>
      <c r="G20" s="209">
        <f t="shared" si="1"/>
        <v>0</v>
      </c>
      <c r="I20" s="293"/>
    </row>
    <row r="21" spans="2:20" s="180" customFormat="1" ht="30" x14ac:dyDescent="0.25">
      <c r="B21" s="324">
        <f>+[19]Estación!A14</f>
        <v>7680</v>
      </c>
      <c r="C21" s="243" t="str">
        <f>+[19]Estación!B14</f>
        <v>Concreto 4000 psi para columnas. (Premezclado. incluye suministro, formaleteo, curado y colocación. no incl. refuerzo)</v>
      </c>
      <c r="D21" s="141" t="str">
        <f>+[19]Estación!C14</f>
        <v>m3</v>
      </c>
      <c r="E21" s="323">
        <v>15.4</v>
      </c>
      <c r="F21" s="207">
        <v>0</v>
      </c>
      <c r="G21" s="209">
        <f t="shared" si="1"/>
        <v>0</v>
      </c>
      <c r="I21" s="293"/>
    </row>
    <row r="22" spans="2:20" s="180" customFormat="1" ht="30" x14ac:dyDescent="0.25">
      <c r="B22" s="324">
        <f>+[19]Estación!A15</f>
        <v>5072</v>
      </c>
      <c r="C22" s="243" t="str">
        <f>+[19]Estación!B15</f>
        <v>Concreto 4000 psi para placas y vigas aereas (premezclado. Incluye suministro, formaleteo, colocación y curado. No incluye refuerzo</v>
      </c>
      <c r="D22" s="141" t="str">
        <f>+[19]Estación!C15</f>
        <v>m3</v>
      </c>
      <c r="E22" s="323">
        <v>35</v>
      </c>
      <c r="F22" s="207">
        <v>0</v>
      </c>
      <c r="G22" s="209">
        <f t="shared" si="1"/>
        <v>0</v>
      </c>
      <c r="I22" s="293"/>
    </row>
    <row r="23" spans="2:20" s="180" customFormat="1" ht="30" x14ac:dyDescent="0.25">
      <c r="B23" s="324">
        <f>+[19]Estación!A16</f>
        <v>3050</v>
      </c>
      <c r="C23" s="243" t="str">
        <f>+[19]Estación!B16</f>
        <v>Relleno en material seleccionado proveniente de la excavación (extendido manual, humedecimiento y compactación)</v>
      </c>
      <c r="D23" s="141" t="str">
        <f>+[19]Estación!C16</f>
        <v>m3</v>
      </c>
      <c r="E23" s="323">
        <v>1319.48</v>
      </c>
      <c r="F23" s="207">
        <v>0</v>
      </c>
      <c r="G23" s="209">
        <f t="shared" si="1"/>
        <v>0</v>
      </c>
      <c r="I23" s="293"/>
    </row>
    <row r="24" spans="2:20" s="180" customFormat="1" ht="30" x14ac:dyDescent="0.25">
      <c r="B24" s="324">
        <f>+[19]Estación!A17</f>
        <v>7082</v>
      </c>
      <c r="C24" s="243" t="str">
        <f>+[19]Estación!B17</f>
        <v>Muro en ladrillo prensado liviano de 24x12x6cm a la vista para culatas (suministro e instalación. incluye mortero 2500 psi, impermeabilizante. no incluye estructura)</v>
      </c>
      <c r="D24" s="141" t="str">
        <f>+[19]Estación!C17</f>
        <v>m2</v>
      </c>
      <c r="E24" s="323">
        <v>148.69</v>
      </c>
      <c r="F24" s="207">
        <v>0</v>
      </c>
      <c r="G24" s="209">
        <f t="shared" si="1"/>
        <v>0</v>
      </c>
      <c r="I24" s="293"/>
    </row>
    <row r="25" spans="2:20" s="180" customFormat="1" ht="30" x14ac:dyDescent="0.25">
      <c r="B25" s="324">
        <f>+[19]Estación!A18</f>
        <v>7183</v>
      </c>
      <c r="C25" s="243" t="str">
        <f>+[19]Estación!B18</f>
        <v>columneta de confinamiento dentro de muro en concreto común de 3000 psi sección 15cmx20 cm. (suministro, formaleta e instalación)</v>
      </c>
      <c r="D25" s="141" t="str">
        <f>+[19]Estación!C18</f>
        <v>ml</v>
      </c>
      <c r="E25" s="323">
        <v>128.1</v>
      </c>
      <c r="F25" s="207">
        <v>0</v>
      </c>
      <c r="G25" s="209">
        <f t="shared" si="1"/>
        <v>0</v>
      </c>
      <c r="I25" s="293"/>
    </row>
    <row r="26" spans="2:20" s="180" customFormat="1" ht="60" x14ac:dyDescent="0.25">
      <c r="B26" s="324">
        <f>+[19]Estación!A19</f>
        <v>7887</v>
      </c>
      <c r="C26" s="243" t="str">
        <f>+[19]Estación!B19</f>
        <v xml:space="preserve">Anclaje epóxico de varilla de 1/2" suministro e instalación. Incluye la detección de refuerzo para perforación, la perforación, limpieza de la perforación con chorro de aire, suministro de materiales (Relleno epóxico et o equivalente, brocas), equipos, transportes, manejo, almacenamiento, manejo de desperdicios, mano de obra. </v>
      </c>
      <c r="D26" s="141" t="str">
        <f>+[19]Estación!C19</f>
        <v>cm.per</v>
      </c>
      <c r="E26" s="323">
        <v>352.8</v>
      </c>
      <c r="F26" s="207">
        <v>0</v>
      </c>
      <c r="G26" s="209">
        <f t="shared" si="1"/>
        <v>0</v>
      </c>
      <c r="I26" s="293"/>
    </row>
    <row r="27" spans="2:20" s="180" customFormat="1" ht="45" x14ac:dyDescent="0.25">
      <c r="B27" s="324">
        <f>+[19]Estación!A20</f>
        <v>6505</v>
      </c>
      <c r="C27" s="243" t="str">
        <f>+[19]Estación!B20</f>
        <v>Acero estructural  grado 50 incluye transporte y montaje con anticorrosivo y pintura epóxica. (Incluye materiales, insumos, herramientas y equipos, andamios, mano de obra calificada y todo lo necesario para desarrollar la obra)</v>
      </c>
      <c r="D27" s="141" t="str">
        <f>+[19]Estación!C20</f>
        <v>kg</v>
      </c>
      <c r="E27" s="323">
        <v>6366.55</v>
      </c>
      <c r="F27" s="207">
        <v>0</v>
      </c>
      <c r="G27" s="209">
        <f t="shared" si="1"/>
        <v>0</v>
      </c>
      <c r="I27" s="293"/>
    </row>
    <row r="28" spans="2:20" s="180" customFormat="1" x14ac:dyDescent="0.25">
      <c r="B28" s="169"/>
      <c r="C28" s="169"/>
      <c r="D28" s="141"/>
      <c r="E28" s="323"/>
      <c r="F28" s="207"/>
      <c r="G28" s="207"/>
      <c r="I28" s="293"/>
    </row>
    <row r="29" spans="2:20" s="180" customFormat="1" x14ac:dyDescent="0.25">
      <c r="B29" s="365" t="s">
        <v>498</v>
      </c>
      <c r="C29" s="14" t="s">
        <v>472</v>
      </c>
      <c r="D29" s="361"/>
      <c r="E29" s="361"/>
      <c r="F29" s="322"/>
      <c r="G29" s="322">
        <f>SUM(G30:AR153)</f>
        <v>0</v>
      </c>
      <c r="I29" s="293"/>
    </row>
    <row r="30" spans="2:20" s="180" customFormat="1" ht="75" x14ac:dyDescent="0.25">
      <c r="B30" s="333" t="s">
        <v>499</v>
      </c>
      <c r="C30" s="243" t="s">
        <v>473</v>
      </c>
      <c r="D30" s="333" t="s">
        <v>425</v>
      </c>
      <c r="E30" s="327">
        <v>2</v>
      </c>
      <c r="F30" s="209">
        <v>0</v>
      </c>
      <c r="G30" s="209">
        <f t="shared" ref="G30:G41" si="2">+F30*E30</f>
        <v>0</v>
      </c>
      <c r="I30" s="293"/>
    </row>
    <row r="31" spans="2:20" s="180" customFormat="1" ht="255" x14ac:dyDescent="0.25">
      <c r="B31" s="333" t="s">
        <v>500</v>
      </c>
      <c r="C31" s="243" t="s">
        <v>490</v>
      </c>
      <c r="D31" s="333" t="s">
        <v>425</v>
      </c>
      <c r="E31" s="327">
        <v>1</v>
      </c>
      <c r="F31" s="209">
        <v>0</v>
      </c>
      <c r="G31" s="209">
        <f>+F31*E31</f>
        <v>0</v>
      </c>
      <c r="I31" s="332"/>
    </row>
    <row r="32" spans="2:20" s="180" customFormat="1" x14ac:dyDescent="0.25">
      <c r="B32" s="333" t="s">
        <v>501</v>
      </c>
      <c r="C32" s="243" t="str">
        <f>+'[32]Acc EBAP'!$A$5</f>
        <v xml:space="preserve">Válvula de pie, de 14" de diámetro, canasta en bronce, Bridada </v>
      </c>
      <c r="D32" s="333" t="s">
        <v>489</v>
      </c>
      <c r="E32" s="327">
        <v>2</v>
      </c>
      <c r="F32" s="209">
        <v>0</v>
      </c>
      <c r="G32" s="209">
        <f t="shared" si="2"/>
        <v>0</v>
      </c>
      <c r="I32" s="332"/>
    </row>
    <row r="33" spans="2:20" s="180" customFormat="1" x14ac:dyDescent="0.25">
      <c r="B33" s="333" t="s">
        <v>502</v>
      </c>
      <c r="C33" s="243" t="s">
        <v>536</v>
      </c>
      <c r="D33" s="333" t="s">
        <v>425</v>
      </c>
      <c r="E33" s="327">
        <v>2</v>
      </c>
      <c r="F33" s="209">
        <v>0</v>
      </c>
      <c r="G33" s="209">
        <f t="shared" si="2"/>
        <v>0</v>
      </c>
      <c r="I33" s="332"/>
      <c r="T33" s="438"/>
    </row>
    <row r="34" spans="2:20" s="180" customFormat="1" x14ac:dyDescent="0.25">
      <c r="B34" s="333" t="s">
        <v>503</v>
      </c>
      <c r="C34" s="243" t="s">
        <v>491</v>
      </c>
      <c r="D34" s="333" t="str">
        <f>+D33</f>
        <v>Und</v>
      </c>
      <c r="E34" s="327">
        <v>4</v>
      </c>
      <c r="F34" s="209">
        <v>0</v>
      </c>
      <c r="G34" s="209">
        <f t="shared" si="2"/>
        <v>0</v>
      </c>
      <c r="I34" s="332"/>
    </row>
    <row r="35" spans="2:20" s="180" customFormat="1" x14ac:dyDescent="0.25">
      <c r="B35" s="333" t="s">
        <v>504</v>
      </c>
      <c r="C35" s="243" t="s">
        <v>535</v>
      </c>
      <c r="D35" s="333" t="s">
        <v>425</v>
      </c>
      <c r="E35" s="327">
        <v>2</v>
      </c>
      <c r="F35" s="209">
        <v>0</v>
      </c>
      <c r="G35" s="209">
        <f t="shared" si="2"/>
        <v>0</v>
      </c>
      <c r="I35" s="332"/>
    </row>
    <row r="36" spans="2:20" s="335" customFormat="1" x14ac:dyDescent="0.25">
      <c r="B36" s="333" t="s">
        <v>505</v>
      </c>
      <c r="C36" s="243" t="s">
        <v>492</v>
      </c>
      <c r="D36" s="333" t="s">
        <v>425</v>
      </c>
      <c r="E36" s="327">
        <v>6</v>
      </c>
      <c r="F36" s="209">
        <v>0</v>
      </c>
      <c r="G36" s="209">
        <f t="shared" si="2"/>
        <v>0</v>
      </c>
      <c r="I36" s="332"/>
      <c r="S36" s="435"/>
      <c r="T36" s="435"/>
    </row>
    <row r="37" spans="2:20" s="335" customFormat="1" x14ac:dyDescent="0.25">
      <c r="B37" s="333" t="s">
        <v>506</v>
      </c>
      <c r="C37" s="243" t="s">
        <v>534</v>
      </c>
      <c r="D37" s="333" t="str">
        <f>+D36</f>
        <v>Und</v>
      </c>
      <c r="E37" s="327">
        <v>2</v>
      </c>
      <c r="F37" s="209">
        <v>0</v>
      </c>
      <c r="G37" s="209">
        <f t="shared" si="2"/>
        <v>0</v>
      </c>
      <c r="I37" s="332"/>
    </row>
    <row r="38" spans="2:20" s="335" customFormat="1" x14ac:dyDescent="0.25">
      <c r="B38" s="333" t="s">
        <v>499</v>
      </c>
      <c r="C38" s="243" t="s">
        <v>493</v>
      </c>
      <c r="D38" s="333" t="s">
        <v>425</v>
      </c>
      <c r="E38" s="327">
        <v>5</v>
      </c>
      <c r="F38" s="209">
        <v>0</v>
      </c>
      <c r="G38" s="209">
        <f t="shared" si="2"/>
        <v>0</v>
      </c>
      <c r="I38" s="332"/>
    </row>
    <row r="39" spans="2:20" s="335" customFormat="1" x14ac:dyDescent="0.25">
      <c r="B39" s="333" t="s">
        <v>507</v>
      </c>
      <c r="C39" s="243" t="s">
        <v>495</v>
      </c>
      <c r="D39" s="333" t="str">
        <f>+D38</f>
        <v>Und</v>
      </c>
      <c r="E39" s="327">
        <v>2</v>
      </c>
      <c r="F39" s="209">
        <v>0</v>
      </c>
      <c r="G39" s="209">
        <f t="shared" si="2"/>
        <v>0</v>
      </c>
      <c r="I39" s="332"/>
    </row>
    <row r="40" spans="2:20" s="335" customFormat="1" x14ac:dyDescent="0.25">
      <c r="B40" s="333" t="s">
        <v>508</v>
      </c>
      <c r="C40" s="243" t="s">
        <v>494</v>
      </c>
      <c r="D40" s="333" t="str">
        <f>+D39</f>
        <v>Und</v>
      </c>
      <c r="E40" s="327">
        <v>2</v>
      </c>
      <c r="F40" s="209">
        <v>0</v>
      </c>
      <c r="G40" s="209">
        <f t="shared" si="2"/>
        <v>0</v>
      </c>
      <c r="I40" s="332"/>
      <c r="L40" s="180"/>
      <c r="M40" s="180"/>
    </row>
    <row r="41" spans="2:20" s="335" customFormat="1" x14ac:dyDescent="0.25">
      <c r="B41" s="333" t="s">
        <v>509</v>
      </c>
      <c r="C41" s="243" t="s">
        <v>496</v>
      </c>
      <c r="D41" s="333" t="s">
        <v>425</v>
      </c>
      <c r="E41" s="327">
        <v>2</v>
      </c>
      <c r="F41" s="209">
        <v>0</v>
      </c>
      <c r="G41" s="209">
        <f t="shared" si="2"/>
        <v>0</v>
      </c>
      <c r="I41" s="332"/>
    </row>
    <row r="42" spans="2:20" s="335" customFormat="1" x14ac:dyDescent="0.25">
      <c r="B42" s="333" t="s">
        <v>510</v>
      </c>
      <c r="C42" s="243" t="s">
        <v>517</v>
      </c>
      <c r="D42" s="333" t="s">
        <v>425</v>
      </c>
      <c r="E42" s="327">
        <v>2</v>
      </c>
      <c r="F42" s="209">
        <v>0</v>
      </c>
      <c r="G42" s="209">
        <f t="shared" ref="G42:G56" si="3">+F42*E42</f>
        <v>0</v>
      </c>
      <c r="I42" s="332"/>
    </row>
    <row r="43" spans="2:20" s="335" customFormat="1" ht="30" x14ac:dyDescent="0.25">
      <c r="B43" s="333" t="s">
        <v>511</v>
      </c>
      <c r="C43" s="243" t="s">
        <v>533</v>
      </c>
      <c r="D43" s="333" t="s">
        <v>425</v>
      </c>
      <c r="E43" s="327">
        <v>2</v>
      </c>
      <c r="F43" s="209">
        <v>0</v>
      </c>
      <c r="G43" s="209">
        <f t="shared" si="3"/>
        <v>0</v>
      </c>
      <c r="I43" s="332"/>
    </row>
    <row r="44" spans="2:20" s="335" customFormat="1" x14ac:dyDescent="0.25">
      <c r="B44" s="333" t="s">
        <v>512</v>
      </c>
      <c r="C44" s="243" t="s">
        <v>518</v>
      </c>
      <c r="D44" s="333" t="s">
        <v>425</v>
      </c>
      <c r="E44" s="327">
        <v>1</v>
      </c>
      <c r="F44" s="209">
        <v>0</v>
      </c>
      <c r="G44" s="209">
        <f t="shared" si="3"/>
        <v>0</v>
      </c>
      <c r="I44" s="332"/>
    </row>
    <row r="45" spans="2:20" s="335" customFormat="1" x14ac:dyDescent="0.25">
      <c r="B45" s="333" t="s">
        <v>513</v>
      </c>
      <c r="C45" s="243" t="s">
        <v>532</v>
      </c>
      <c r="D45" s="333" t="s">
        <v>425</v>
      </c>
      <c r="E45" s="327">
        <v>1</v>
      </c>
      <c r="F45" s="209">
        <v>0</v>
      </c>
      <c r="G45" s="209">
        <f t="shared" si="3"/>
        <v>0</v>
      </c>
      <c r="I45" s="332"/>
    </row>
    <row r="46" spans="2:20" s="335" customFormat="1" x14ac:dyDescent="0.25">
      <c r="B46" s="333" t="s">
        <v>514</v>
      </c>
      <c r="C46" s="243" t="s">
        <v>519</v>
      </c>
      <c r="D46" s="333" t="s">
        <v>425</v>
      </c>
      <c r="E46" s="327">
        <v>1</v>
      </c>
      <c r="F46" s="209">
        <v>0</v>
      </c>
      <c r="G46" s="209">
        <f t="shared" si="3"/>
        <v>0</v>
      </c>
      <c r="I46" s="332"/>
    </row>
    <row r="47" spans="2:20" s="180" customFormat="1" x14ac:dyDescent="0.25">
      <c r="B47" s="333" t="s">
        <v>515</v>
      </c>
      <c r="C47" s="243" t="s">
        <v>520</v>
      </c>
      <c r="D47" s="333" t="s">
        <v>425</v>
      </c>
      <c r="E47" s="327">
        <v>1</v>
      </c>
      <c r="F47" s="209">
        <v>0</v>
      </c>
      <c r="G47" s="209">
        <f t="shared" si="3"/>
        <v>0</v>
      </c>
      <c r="I47" s="332"/>
    </row>
    <row r="48" spans="2:20" s="335" customFormat="1" x14ac:dyDescent="0.25">
      <c r="B48" s="333" t="s">
        <v>516</v>
      </c>
      <c r="C48" s="243" t="s">
        <v>529</v>
      </c>
      <c r="D48" s="333" t="s">
        <v>425</v>
      </c>
      <c r="E48" s="327">
        <v>1</v>
      </c>
      <c r="F48" s="209">
        <v>0</v>
      </c>
      <c r="G48" s="209">
        <f t="shared" si="3"/>
        <v>0</v>
      </c>
      <c r="I48" s="332"/>
    </row>
    <row r="49" spans="2:9" s="180" customFormat="1" x14ac:dyDescent="0.25">
      <c r="B49" s="333" t="s">
        <v>521</v>
      </c>
      <c r="C49" s="243" t="s">
        <v>530</v>
      </c>
      <c r="D49" s="333" t="s">
        <v>425</v>
      </c>
      <c r="E49" s="327">
        <v>1</v>
      </c>
      <c r="F49" s="209">
        <v>0</v>
      </c>
      <c r="G49" s="209">
        <f t="shared" si="3"/>
        <v>0</v>
      </c>
      <c r="I49" s="332"/>
    </row>
    <row r="50" spans="2:9" s="335" customFormat="1" x14ac:dyDescent="0.25">
      <c r="B50" s="333" t="s">
        <v>522</v>
      </c>
      <c r="C50" s="243" t="s">
        <v>531</v>
      </c>
      <c r="D50" s="333" t="s">
        <v>425</v>
      </c>
      <c r="E50" s="327">
        <v>1</v>
      </c>
      <c r="F50" s="209">
        <v>0</v>
      </c>
      <c r="G50" s="209">
        <f t="shared" si="3"/>
        <v>0</v>
      </c>
      <c r="I50" s="332"/>
    </row>
    <row r="51" spans="2:9" s="180" customFormat="1" x14ac:dyDescent="0.25">
      <c r="B51" s="333" t="s">
        <v>523</v>
      </c>
      <c r="C51" s="243" t="s">
        <v>537</v>
      </c>
      <c r="D51" s="333" t="s">
        <v>425</v>
      </c>
      <c r="E51" s="327">
        <v>1</v>
      </c>
      <c r="F51" s="209">
        <v>0</v>
      </c>
      <c r="G51" s="209">
        <f t="shared" si="3"/>
        <v>0</v>
      </c>
      <c r="I51" s="332"/>
    </row>
    <row r="52" spans="2:9" s="180" customFormat="1" ht="30" x14ac:dyDescent="0.25">
      <c r="B52" s="333" t="s">
        <v>524</v>
      </c>
      <c r="C52" s="243" t="s">
        <v>538</v>
      </c>
      <c r="D52" s="333" t="s">
        <v>425</v>
      </c>
      <c r="E52" s="327">
        <v>1</v>
      </c>
      <c r="F52" s="209">
        <v>0</v>
      </c>
      <c r="G52" s="209">
        <f t="shared" si="3"/>
        <v>0</v>
      </c>
      <c r="I52" s="332"/>
    </row>
    <row r="53" spans="2:9" s="335" customFormat="1" x14ac:dyDescent="0.25">
      <c r="B53" s="333" t="s">
        <v>525</v>
      </c>
      <c r="C53" s="243" t="s">
        <v>539</v>
      </c>
      <c r="D53" s="333" t="s">
        <v>425</v>
      </c>
      <c r="E53" s="327">
        <v>1</v>
      </c>
      <c r="F53" s="209">
        <v>0</v>
      </c>
      <c r="G53" s="209">
        <f t="shared" si="3"/>
        <v>0</v>
      </c>
      <c r="I53" s="332"/>
    </row>
    <row r="54" spans="2:9" s="335" customFormat="1" ht="30" x14ac:dyDescent="0.25">
      <c r="B54" s="333" t="s">
        <v>526</v>
      </c>
      <c r="C54" s="243" t="s">
        <v>540</v>
      </c>
      <c r="D54" s="333" t="s">
        <v>425</v>
      </c>
      <c r="E54" s="327">
        <v>1</v>
      </c>
      <c r="F54" s="209">
        <v>0</v>
      </c>
      <c r="G54" s="209">
        <f t="shared" si="3"/>
        <v>0</v>
      </c>
      <c r="I54" s="332"/>
    </row>
    <row r="55" spans="2:9" s="180" customFormat="1" ht="30" x14ac:dyDescent="0.25">
      <c r="B55" s="333" t="s">
        <v>527</v>
      </c>
      <c r="C55" s="243" t="s">
        <v>541</v>
      </c>
      <c r="D55" s="333" t="s">
        <v>425</v>
      </c>
      <c r="E55" s="327">
        <v>1</v>
      </c>
      <c r="F55" s="209">
        <v>0</v>
      </c>
      <c r="G55" s="209">
        <f t="shared" si="3"/>
        <v>0</v>
      </c>
      <c r="I55" s="332"/>
    </row>
    <row r="56" spans="2:9" s="180" customFormat="1" x14ac:dyDescent="0.25">
      <c r="B56" s="333" t="s">
        <v>528</v>
      </c>
      <c r="C56" s="243" t="s">
        <v>542</v>
      </c>
      <c r="D56" s="333" t="s">
        <v>425</v>
      </c>
      <c r="E56" s="327">
        <v>2</v>
      </c>
      <c r="F56" s="209">
        <v>0</v>
      </c>
      <c r="G56" s="209">
        <f t="shared" si="3"/>
        <v>0</v>
      </c>
      <c r="I56" s="332"/>
    </row>
    <row r="57" spans="2:9" s="180" customFormat="1" ht="30" x14ac:dyDescent="0.25">
      <c r="B57" s="333" t="s">
        <v>543</v>
      </c>
      <c r="C57" s="243" t="s">
        <v>563</v>
      </c>
      <c r="D57" s="333" t="s">
        <v>425</v>
      </c>
      <c r="E57" s="327">
        <v>2</v>
      </c>
      <c r="F57" s="209">
        <v>0</v>
      </c>
      <c r="G57" s="209">
        <f t="shared" ref="G57:G82" si="4">+F57*E57</f>
        <v>0</v>
      </c>
      <c r="I57" s="332"/>
    </row>
    <row r="58" spans="2:9" s="180" customFormat="1" ht="30" x14ac:dyDescent="0.25">
      <c r="B58" s="333" t="s">
        <v>544</v>
      </c>
      <c r="C58" s="243" t="s">
        <v>564</v>
      </c>
      <c r="D58" s="333" t="s">
        <v>425</v>
      </c>
      <c r="E58" s="327">
        <v>1</v>
      </c>
      <c r="F58" s="209">
        <v>0</v>
      </c>
      <c r="G58" s="209">
        <f t="shared" si="4"/>
        <v>0</v>
      </c>
      <c r="I58" s="332"/>
    </row>
    <row r="59" spans="2:9" s="180" customFormat="1" x14ac:dyDescent="0.25">
      <c r="B59" s="333" t="s">
        <v>545</v>
      </c>
      <c r="C59" s="243" t="s">
        <v>565</v>
      </c>
      <c r="D59" s="333" t="s">
        <v>425</v>
      </c>
      <c r="E59" s="327">
        <v>2</v>
      </c>
      <c r="F59" s="209">
        <v>0</v>
      </c>
      <c r="G59" s="209">
        <f t="shared" si="4"/>
        <v>0</v>
      </c>
      <c r="I59" s="332"/>
    </row>
    <row r="60" spans="2:9" s="180" customFormat="1" hidden="1" x14ac:dyDescent="0.25">
      <c r="B60" s="333"/>
      <c r="C60" s="243"/>
      <c r="D60" s="333"/>
      <c r="E60" s="327">
        <v>0</v>
      </c>
      <c r="F60" s="209"/>
      <c r="G60" s="209"/>
      <c r="I60" s="332"/>
    </row>
    <row r="61" spans="2:9" s="180" customFormat="1" ht="30" x14ac:dyDescent="0.25">
      <c r="B61" s="333" t="s">
        <v>546</v>
      </c>
      <c r="C61" s="243" t="s">
        <v>566</v>
      </c>
      <c r="D61" s="333" t="s">
        <v>425</v>
      </c>
      <c r="E61" s="327">
        <v>1</v>
      </c>
      <c r="F61" s="209">
        <v>0</v>
      </c>
      <c r="G61" s="209">
        <f t="shared" si="4"/>
        <v>0</v>
      </c>
      <c r="I61" s="332"/>
    </row>
    <row r="62" spans="2:9" s="180" customFormat="1" x14ac:dyDescent="0.25">
      <c r="B62" s="333" t="s">
        <v>547</v>
      </c>
      <c r="C62" s="243" t="s">
        <v>567</v>
      </c>
      <c r="D62" s="333" t="s">
        <v>425</v>
      </c>
      <c r="E62" s="327">
        <v>2</v>
      </c>
      <c r="F62" s="209">
        <v>0</v>
      </c>
      <c r="G62" s="209">
        <f t="shared" si="4"/>
        <v>0</v>
      </c>
      <c r="I62" s="332"/>
    </row>
    <row r="63" spans="2:9" s="180" customFormat="1" x14ac:dyDescent="0.25">
      <c r="B63" s="333" t="s">
        <v>548</v>
      </c>
      <c r="C63" s="243" t="s">
        <v>568</v>
      </c>
      <c r="D63" s="333" t="s">
        <v>425</v>
      </c>
      <c r="E63" s="327">
        <v>2</v>
      </c>
      <c r="F63" s="209">
        <v>0</v>
      </c>
      <c r="G63" s="209">
        <f t="shared" si="4"/>
        <v>0</v>
      </c>
      <c r="I63" s="332"/>
    </row>
    <row r="64" spans="2:9" s="180" customFormat="1" x14ac:dyDescent="0.25">
      <c r="B64" s="333" t="s">
        <v>549</v>
      </c>
      <c r="C64" s="243" t="s">
        <v>569</v>
      </c>
      <c r="D64" s="333" t="s">
        <v>425</v>
      </c>
      <c r="E64" s="327">
        <v>1</v>
      </c>
      <c r="F64" s="209">
        <v>0</v>
      </c>
      <c r="G64" s="209">
        <f t="shared" si="4"/>
        <v>0</v>
      </c>
      <c r="I64" s="332"/>
    </row>
    <row r="65" spans="2:11" s="180" customFormat="1" x14ac:dyDescent="0.25">
      <c r="B65" s="333" t="s">
        <v>550</v>
      </c>
      <c r="C65" s="243" t="s">
        <v>570</v>
      </c>
      <c r="D65" s="333" t="s">
        <v>425</v>
      </c>
      <c r="E65" s="327">
        <v>2</v>
      </c>
      <c r="F65" s="209">
        <v>0</v>
      </c>
      <c r="G65" s="209">
        <f t="shared" si="4"/>
        <v>0</v>
      </c>
      <c r="I65" s="332"/>
    </row>
    <row r="66" spans="2:11" s="180" customFormat="1" x14ac:dyDescent="0.25">
      <c r="B66" s="333" t="s">
        <v>551</v>
      </c>
      <c r="C66" s="243" t="s">
        <v>571</v>
      </c>
      <c r="D66" s="333" t="s">
        <v>425</v>
      </c>
      <c r="E66" s="327">
        <v>1</v>
      </c>
      <c r="F66" s="209">
        <v>0</v>
      </c>
      <c r="G66" s="209">
        <f t="shared" si="4"/>
        <v>0</v>
      </c>
      <c r="I66" s="332"/>
    </row>
    <row r="67" spans="2:11" s="180" customFormat="1" x14ac:dyDescent="0.25">
      <c r="B67" s="333" t="s">
        <v>552</v>
      </c>
      <c r="C67" s="243" t="s">
        <v>572</v>
      </c>
      <c r="D67" s="333" t="s">
        <v>425</v>
      </c>
      <c r="E67" s="327">
        <v>1</v>
      </c>
      <c r="F67" s="209">
        <v>0</v>
      </c>
      <c r="G67" s="209">
        <f t="shared" si="4"/>
        <v>0</v>
      </c>
      <c r="I67" s="332"/>
    </row>
    <row r="68" spans="2:11" s="180" customFormat="1" x14ac:dyDescent="0.25">
      <c r="B68" s="333" t="s">
        <v>553</v>
      </c>
      <c r="C68" s="243" t="s">
        <v>573</v>
      </c>
      <c r="D68" s="333" t="s">
        <v>425</v>
      </c>
      <c r="E68" s="327">
        <v>1</v>
      </c>
      <c r="F68" s="209">
        <v>0</v>
      </c>
      <c r="G68" s="209">
        <f t="shared" si="4"/>
        <v>0</v>
      </c>
      <c r="I68" s="332"/>
    </row>
    <row r="69" spans="2:11" s="180" customFormat="1" hidden="1" x14ac:dyDescent="0.25">
      <c r="B69" s="333"/>
      <c r="C69" s="243"/>
      <c r="D69" s="333"/>
      <c r="E69" s="327">
        <v>0</v>
      </c>
      <c r="F69" s="209"/>
      <c r="G69" s="209"/>
      <c r="I69" s="332"/>
    </row>
    <row r="70" spans="2:11" s="180" customFormat="1" hidden="1" x14ac:dyDescent="0.25">
      <c r="B70" s="333"/>
      <c r="C70" s="243"/>
      <c r="D70" s="333"/>
      <c r="E70" s="327">
        <v>0</v>
      </c>
      <c r="F70" s="209"/>
      <c r="G70" s="209"/>
      <c r="I70" s="332"/>
    </row>
    <row r="71" spans="2:11" s="180" customFormat="1" hidden="1" x14ac:dyDescent="0.25">
      <c r="B71" s="333"/>
      <c r="C71" s="243"/>
      <c r="D71" s="333"/>
      <c r="E71" s="327">
        <v>0</v>
      </c>
      <c r="F71" s="209"/>
      <c r="G71" s="209"/>
      <c r="I71" s="332"/>
    </row>
    <row r="72" spans="2:11" s="180" customFormat="1" x14ac:dyDescent="0.25">
      <c r="B72" s="333" t="s">
        <v>554</v>
      </c>
      <c r="C72" s="243" t="s">
        <v>574</v>
      </c>
      <c r="D72" s="333" t="s">
        <v>425</v>
      </c>
      <c r="E72" s="327">
        <v>3</v>
      </c>
      <c r="F72" s="209">
        <v>0</v>
      </c>
      <c r="G72" s="209">
        <f t="shared" si="4"/>
        <v>0</v>
      </c>
      <c r="I72" s="332"/>
    </row>
    <row r="73" spans="2:11" s="180" customFormat="1" hidden="1" x14ac:dyDescent="0.25">
      <c r="B73" s="333"/>
      <c r="C73" s="243"/>
      <c r="D73" s="333"/>
      <c r="E73" s="327">
        <v>0</v>
      </c>
      <c r="F73" s="209"/>
      <c r="G73" s="209"/>
      <c r="I73" s="332"/>
    </row>
    <row r="74" spans="2:11" s="180" customFormat="1" x14ac:dyDescent="0.25">
      <c r="B74" s="333" t="s">
        <v>555</v>
      </c>
      <c r="C74" s="243" t="s">
        <v>575</v>
      </c>
      <c r="D74" s="333" t="s">
        <v>425</v>
      </c>
      <c r="E74" s="327">
        <v>9</v>
      </c>
      <c r="F74" s="209">
        <v>0</v>
      </c>
      <c r="G74" s="209">
        <f t="shared" si="4"/>
        <v>0</v>
      </c>
      <c r="I74" s="332"/>
    </row>
    <row r="75" spans="2:11" s="180" customFormat="1" hidden="1" x14ac:dyDescent="0.25">
      <c r="B75" s="333"/>
      <c r="C75" s="243"/>
      <c r="D75" s="333"/>
      <c r="E75" s="327">
        <v>0</v>
      </c>
      <c r="F75" s="209"/>
      <c r="G75" s="209"/>
      <c r="I75" s="332"/>
    </row>
    <row r="76" spans="2:11" s="180" customFormat="1" hidden="1" x14ac:dyDescent="0.25">
      <c r="B76" s="333"/>
      <c r="C76" s="243"/>
      <c r="D76" s="333"/>
      <c r="E76" s="327">
        <v>0</v>
      </c>
      <c r="F76" s="209"/>
      <c r="G76" s="209"/>
      <c r="I76" s="332"/>
    </row>
    <row r="77" spans="2:11" s="180" customFormat="1" x14ac:dyDescent="0.25">
      <c r="B77" s="333" t="s">
        <v>556</v>
      </c>
      <c r="C77" s="243" t="s">
        <v>576</v>
      </c>
      <c r="D77" s="333" t="s">
        <v>425</v>
      </c>
      <c r="E77" s="327">
        <v>2</v>
      </c>
      <c r="F77" s="209">
        <v>0</v>
      </c>
      <c r="G77" s="209">
        <f t="shared" si="4"/>
        <v>0</v>
      </c>
      <c r="I77" s="332"/>
      <c r="J77" s="434"/>
      <c r="K77" s="188"/>
    </row>
    <row r="78" spans="2:11" s="180" customFormat="1" x14ac:dyDescent="0.25">
      <c r="B78" s="333" t="s">
        <v>557</v>
      </c>
      <c r="C78" s="243" t="s">
        <v>577</v>
      </c>
      <c r="D78" s="333" t="s">
        <v>425</v>
      </c>
      <c r="E78" s="327">
        <v>2</v>
      </c>
      <c r="F78" s="209">
        <v>0</v>
      </c>
      <c r="G78" s="209">
        <f t="shared" si="4"/>
        <v>0</v>
      </c>
      <c r="I78" s="332"/>
      <c r="J78" s="434"/>
      <c r="K78" s="188"/>
    </row>
    <row r="79" spans="2:11" s="180" customFormat="1" x14ac:dyDescent="0.25">
      <c r="B79" s="333" t="s">
        <v>558</v>
      </c>
      <c r="C79" s="243" t="s">
        <v>578</v>
      </c>
      <c r="D79" s="333" t="s">
        <v>425</v>
      </c>
      <c r="E79" s="327">
        <v>1</v>
      </c>
      <c r="F79" s="209">
        <v>0</v>
      </c>
      <c r="G79" s="209">
        <f t="shared" si="4"/>
        <v>0</v>
      </c>
      <c r="I79" s="332"/>
      <c r="J79" s="434"/>
      <c r="K79" s="188"/>
    </row>
    <row r="80" spans="2:11" s="180" customFormat="1" x14ac:dyDescent="0.25">
      <c r="B80" s="333" t="s">
        <v>559</v>
      </c>
      <c r="C80" s="243" t="s">
        <v>579</v>
      </c>
      <c r="D80" s="333" t="s">
        <v>425</v>
      </c>
      <c r="E80" s="327">
        <v>1</v>
      </c>
      <c r="F80" s="209">
        <v>0</v>
      </c>
      <c r="G80" s="209">
        <f t="shared" si="4"/>
        <v>0</v>
      </c>
      <c r="I80" s="332"/>
    </row>
    <row r="81" spans="2:9" s="436" customFormat="1" x14ac:dyDescent="0.25">
      <c r="B81" s="333" t="s">
        <v>560</v>
      </c>
      <c r="C81" s="243" t="s">
        <v>580</v>
      </c>
      <c r="D81" s="333" t="s">
        <v>425</v>
      </c>
      <c r="E81" s="327">
        <v>2</v>
      </c>
      <c r="F81" s="209">
        <v>0</v>
      </c>
      <c r="G81" s="209">
        <f t="shared" si="4"/>
        <v>0</v>
      </c>
      <c r="I81" s="332"/>
    </row>
    <row r="82" spans="2:9" s="436" customFormat="1" x14ac:dyDescent="0.25">
      <c r="B82" s="333" t="s">
        <v>561</v>
      </c>
      <c r="C82" s="243" t="s">
        <v>581</v>
      </c>
      <c r="D82" s="333" t="s">
        <v>425</v>
      </c>
      <c r="E82" s="327">
        <v>1</v>
      </c>
      <c r="F82" s="209">
        <v>0</v>
      </c>
      <c r="G82" s="209">
        <f t="shared" si="4"/>
        <v>0</v>
      </c>
      <c r="I82" s="332"/>
    </row>
    <row r="83" spans="2:9" s="436" customFormat="1" hidden="1" x14ac:dyDescent="0.25">
      <c r="B83" s="169"/>
      <c r="C83" s="243"/>
      <c r="D83" s="141"/>
      <c r="E83" s="141"/>
      <c r="F83" s="207"/>
      <c r="G83" s="207"/>
      <c r="I83" s="332"/>
    </row>
    <row r="84" spans="2:9" s="436" customFormat="1" hidden="1" x14ac:dyDescent="0.25">
      <c r="B84" s="169"/>
      <c r="C84" s="243"/>
      <c r="D84" s="141"/>
      <c r="E84" s="141"/>
      <c r="F84" s="207"/>
      <c r="G84" s="207"/>
      <c r="I84" s="332"/>
    </row>
    <row r="85" spans="2:9" s="436" customFormat="1" hidden="1" x14ac:dyDescent="0.25">
      <c r="B85" s="169"/>
      <c r="C85" s="243"/>
      <c r="D85" s="141"/>
      <c r="E85" s="141"/>
      <c r="F85" s="207"/>
      <c r="G85" s="207"/>
      <c r="I85" s="332"/>
    </row>
    <row r="86" spans="2:9" s="180" customFormat="1" hidden="1" x14ac:dyDescent="0.25">
      <c r="B86" s="169"/>
      <c r="C86" s="243"/>
      <c r="D86" s="141"/>
      <c r="E86" s="141"/>
      <c r="F86" s="207"/>
      <c r="G86" s="207"/>
      <c r="I86" s="332"/>
    </row>
    <row r="87" spans="2:9" s="180" customFormat="1" hidden="1" x14ac:dyDescent="0.25">
      <c r="B87" s="169"/>
      <c r="C87" s="243"/>
      <c r="D87" s="141"/>
      <c r="E87" s="141"/>
      <c r="F87" s="207"/>
      <c r="G87" s="207"/>
      <c r="I87" s="332"/>
    </row>
    <row r="88" spans="2:9" s="180" customFormat="1" hidden="1" x14ac:dyDescent="0.25">
      <c r="B88" s="169"/>
      <c r="C88" s="243"/>
      <c r="D88" s="141"/>
      <c r="E88" s="141"/>
      <c r="F88" s="207"/>
      <c r="G88" s="207"/>
      <c r="I88" s="332"/>
    </row>
    <row r="89" spans="2:9" s="180" customFormat="1" hidden="1" x14ac:dyDescent="0.25">
      <c r="B89" s="169"/>
      <c r="C89" s="243"/>
      <c r="D89" s="141"/>
      <c r="E89" s="141"/>
      <c r="F89" s="207"/>
      <c r="G89" s="207"/>
      <c r="I89" s="332"/>
    </row>
    <row r="90" spans="2:9" s="180" customFormat="1" hidden="1" x14ac:dyDescent="0.25">
      <c r="B90" s="169"/>
      <c r="C90" s="243"/>
      <c r="D90" s="141"/>
      <c r="E90" s="141"/>
      <c r="F90" s="207"/>
      <c r="G90" s="207"/>
      <c r="I90" s="332"/>
    </row>
    <row r="91" spans="2:9" s="180" customFormat="1" hidden="1" x14ac:dyDescent="0.25">
      <c r="B91" s="169"/>
      <c r="C91" s="243"/>
      <c r="D91" s="141"/>
      <c r="E91" s="141"/>
      <c r="F91" s="207"/>
      <c r="G91" s="207"/>
      <c r="I91" s="332"/>
    </row>
    <row r="92" spans="2:9" s="180" customFormat="1" hidden="1" x14ac:dyDescent="0.25">
      <c r="B92" s="169"/>
      <c r="C92" s="243"/>
      <c r="D92" s="141"/>
      <c r="E92" s="141"/>
      <c r="F92" s="207"/>
      <c r="G92" s="207"/>
      <c r="I92" s="332"/>
    </row>
    <row r="93" spans="2:9" s="180" customFormat="1" hidden="1" x14ac:dyDescent="0.25">
      <c r="B93" s="169"/>
      <c r="C93" s="243"/>
      <c r="D93" s="141"/>
      <c r="E93" s="141"/>
      <c r="F93" s="207"/>
      <c r="G93" s="207"/>
      <c r="I93" s="332"/>
    </row>
    <row r="94" spans="2:9" s="180" customFormat="1" hidden="1" x14ac:dyDescent="0.25">
      <c r="B94" s="169"/>
      <c r="C94" s="243"/>
      <c r="D94" s="141"/>
      <c r="E94" s="141"/>
      <c r="F94" s="207"/>
      <c r="G94" s="207"/>
      <c r="I94" s="332"/>
    </row>
    <row r="95" spans="2:9" s="180" customFormat="1" hidden="1" x14ac:dyDescent="0.25">
      <c r="B95" s="169"/>
      <c r="C95" s="243"/>
      <c r="D95" s="141"/>
      <c r="E95" s="141"/>
      <c r="F95" s="207"/>
      <c r="G95" s="207"/>
      <c r="I95" s="332"/>
    </row>
    <row r="96" spans="2:9" s="180" customFormat="1" hidden="1" x14ac:dyDescent="0.25">
      <c r="B96" s="169"/>
      <c r="C96" s="243"/>
      <c r="D96" s="141"/>
      <c r="E96" s="141"/>
      <c r="F96" s="207"/>
      <c r="G96" s="207"/>
      <c r="I96" s="332"/>
    </row>
    <row r="97" spans="2:9" s="180" customFormat="1" hidden="1" x14ac:dyDescent="0.25">
      <c r="B97" s="169"/>
      <c r="C97" s="243"/>
      <c r="D97" s="141"/>
      <c r="E97" s="141"/>
      <c r="F97" s="207"/>
      <c r="G97" s="207"/>
      <c r="I97" s="332"/>
    </row>
    <row r="98" spans="2:9" s="180" customFormat="1" hidden="1" x14ac:dyDescent="0.25">
      <c r="B98" s="169"/>
      <c r="C98" s="243"/>
      <c r="D98" s="141"/>
      <c r="E98" s="141"/>
      <c r="F98" s="207"/>
      <c r="G98" s="207"/>
      <c r="I98" s="332"/>
    </row>
    <row r="99" spans="2:9" s="180" customFormat="1" hidden="1" x14ac:dyDescent="0.25">
      <c r="B99" s="169"/>
      <c r="C99" s="243"/>
      <c r="D99" s="141"/>
      <c r="E99" s="141"/>
      <c r="F99" s="207"/>
      <c r="G99" s="207"/>
      <c r="I99" s="332"/>
    </row>
    <row r="100" spans="2:9" s="180" customFormat="1" hidden="1" x14ac:dyDescent="0.25">
      <c r="B100" s="169"/>
      <c r="C100" s="243"/>
      <c r="D100" s="141"/>
      <c r="E100" s="141"/>
      <c r="F100" s="207"/>
      <c r="G100" s="207"/>
      <c r="I100" s="332"/>
    </row>
    <row r="101" spans="2:9" s="180" customFormat="1" hidden="1" x14ac:dyDescent="0.25">
      <c r="B101" s="169"/>
      <c r="C101" s="243"/>
      <c r="D101" s="141"/>
      <c r="E101" s="141"/>
      <c r="F101" s="207"/>
      <c r="G101" s="207"/>
      <c r="I101" s="332"/>
    </row>
    <row r="102" spans="2:9" s="180" customFormat="1" hidden="1" x14ac:dyDescent="0.25">
      <c r="B102" s="169"/>
      <c r="C102" s="243"/>
      <c r="D102" s="141"/>
      <c r="E102" s="141"/>
      <c r="F102" s="207"/>
      <c r="G102" s="207"/>
      <c r="I102" s="332"/>
    </row>
    <row r="103" spans="2:9" s="180" customFormat="1" hidden="1" x14ac:dyDescent="0.25">
      <c r="B103" s="169"/>
      <c r="C103" s="243"/>
      <c r="D103" s="141"/>
      <c r="E103" s="141"/>
      <c r="F103" s="207"/>
      <c r="G103" s="207"/>
      <c r="I103" s="332"/>
    </row>
    <row r="104" spans="2:9" s="180" customFormat="1" hidden="1" x14ac:dyDescent="0.25">
      <c r="B104" s="169"/>
      <c r="C104" s="243"/>
      <c r="D104" s="141"/>
      <c r="E104" s="141"/>
      <c r="F104" s="207"/>
      <c r="G104" s="207"/>
      <c r="I104" s="332"/>
    </row>
    <row r="105" spans="2:9" s="180" customFormat="1" hidden="1" x14ac:dyDescent="0.25">
      <c r="B105" s="169"/>
      <c r="C105" s="243"/>
      <c r="D105" s="141"/>
      <c r="E105" s="141"/>
      <c r="F105" s="207"/>
      <c r="G105" s="207"/>
      <c r="I105" s="332"/>
    </row>
    <row r="106" spans="2:9" s="180" customFormat="1" hidden="1" x14ac:dyDescent="0.25">
      <c r="B106" s="169"/>
      <c r="C106" s="243"/>
      <c r="D106" s="141"/>
      <c r="E106" s="141"/>
      <c r="F106" s="207"/>
      <c r="G106" s="207"/>
      <c r="I106" s="332"/>
    </row>
    <row r="107" spans="2:9" s="180" customFormat="1" hidden="1" x14ac:dyDescent="0.25">
      <c r="B107" s="169"/>
      <c r="C107" s="243"/>
      <c r="D107" s="141"/>
      <c r="E107" s="141"/>
      <c r="F107" s="207"/>
      <c r="G107" s="207"/>
      <c r="I107" s="332"/>
    </row>
    <row r="108" spans="2:9" s="180" customFormat="1" hidden="1" x14ac:dyDescent="0.25">
      <c r="B108" s="169"/>
      <c r="C108" s="243"/>
      <c r="D108" s="141"/>
      <c r="E108" s="141"/>
      <c r="F108" s="207"/>
      <c r="G108" s="207"/>
      <c r="I108" s="332"/>
    </row>
    <row r="109" spans="2:9" s="180" customFormat="1" hidden="1" x14ac:dyDescent="0.25">
      <c r="B109" s="169"/>
      <c r="C109" s="243"/>
      <c r="D109" s="141"/>
      <c r="E109" s="141"/>
      <c r="F109" s="207"/>
      <c r="G109" s="207"/>
      <c r="I109" s="332"/>
    </row>
    <row r="110" spans="2:9" s="180" customFormat="1" hidden="1" x14ac:dyDescent="0.25">
      <c r="B110" s="169"/>
      <c r="C110" s="243"/>
      <c r="D110" s="141"/>
      <c r="E110" s="141"/>
      <c r="F110" s="207"/>
      <c r="G110" s="207"/>
      <c r="I110" s="332"/>
    </row>
    <row r="111" spans="2:9" s="180" customFormat="1" hidden="1" x14ac:dyDescent="0.25">
      <c r="B111" s="169"/>
      <c r="C111" s="243"/>
      <c r="D111" s="141"/>
      <c r="E111" s="141"/>
      <c r="F111" s="207"/>
      <c r="G111" s="207"/>
      <c r="I111" s="332"/>
    </row>
    <row r="112" spans="2:9" s="180" customFormat="1" hidden="1" x14ac:dyDescent="0.25">
      <c r="B112" s="169"/>
      <c r="C112" s="243"/>
      <c r="D112" s="141"/>
      <c r="E112" s="141"/>
      <c r="F112" s="207"/>
      <c r="G112" s="207"/>
      <c r="I112" s="332"/>
    </row>
    <row r="113" spans="2:9" s="180" customFormat="1" hidden="1" x14ac:dyDescent="0.25">
      <c r="B113" s="169"/>
      <c r="C113" s="243"/>
      <c r="D113" s="141"/>
      <c r="E113" s="141"/>
      <c r="F113" s="207"/>
      <c r="G113" s="207"/>
      <c r="I113" s="332"/>
    </row>
    <row r="114" spans="2:9" s="180" customFormat="1" hidden="1" x14ac:dyDescent="0.25">
      <c r="B114" s="169"/>
      <c r="C114" s="243"/>
      <c r="D114" s="141"/>
      <c r="E114" s="141"/>
      <c r="F114" s="207"/>
      <c r="G114" s="207"/>
      <c r="I114" s="332"/>
    </row>
    <row r="115" spans="2:9" s="180" customFormat="1" hidden="1" x14ac:dyDescent="0.25">
      <c r="B115" s="169"/>
      <c r="C115" s="243"/>
      <c r="D115" s="141"/>
      <c r="E115" s="141"/>
      <c r="F115" s="207"/>
      <c r="G115" s="207"/>
    </row>
    <row r="116" spans="2:9" s="180" customFormat="1" hidden="1" x14ac:dyDescent="0.25">
      <c r="B116" s="169"/>
      <c r="C116" s="243"/>
      <c r="D116" s="141"/>
      <c r="E116" s="141"/>
      <c r="F116" s="207"/>
      <c r="G116" s="207"/>
    </row>
    <row r="117" spans="2:9" s="180" customFormat="1" hidden="1" x14ac:dyDescent="0.25">
      <c r="B117" s="169"/>
      <c r="C117" s="243"/>
      <c r="D117" s="141"/>
      <c r="E117" s="141"/>
      <c r="F117" s="207"/>
      <c r="G117" s="207"/>
    </row>
    <row r="118" spans="2:9" s="180" customFormat="1" hidden="1" x14ac:dyDescent="0.25">
      <c r="B118" s="169"/>
      <c r="C118" s="243"/>
      <c r="D118" s="141"/>
      <c r="E118" s="141"/>
      <c r="F118" s="207"/>
      <c r="G118" s="207"/>
    </row>
    <row r="119" spans="2:9" s="180" customFormat="1" hidden="1" x14ac:dyDescent="0.25">
      <c r="B119" s="169"/>
      <c r="C119" s="243"/>
      <c r="D119" s="141"/>
      <c r="E119" s="141"/>
      <c r="F119" s="207"/>
      <c r="G119" s="207"/>
    </row>
    <row r="120" spans="2:9" s="180" customFormat="1" hidden="1" x14ac:dyDescent="0.25">
      <c r="B120" s="169"/>
      <c r="C120" s="243"/>
      <c r="D120" s="141"/>
      <c r="E120" s="141"/>
      <c r="F120" s="207"/>
      <c r="G120" s="207"/>
      <c r="I120" s="437"/>
    </row>
    <row r="121" spans="2:9" s="180" customFormat="1" hidden="1" x14ac:dyDescent="0.25">
      <c r="B121" s="169"/>
      <c r="C121" s="243"/>
      <c r="D121" s="141"/>
      <c r="E121" s="141"/>
      <c r="F121" s="207"/>
      <c r="G121" s="207"/>
      <c r="I121" s="437"/>
    </row>
    <row r="122" spans="2:9" s="180" customFormat="1" hidden="1" x14ac:dyDescent="0.25">
      <c r="B122" s="169"/>
      <c r="C122" s="243"/>
      <c r="D122" s="141"/>
      <c r="E122" s="141"/>
      <c r="F122" s="207"/>
      <c r="G122" s="207"/>
      <c r="I122" s="437"/>
    </row>
    <row r="123" spans="2:9" s="180" customFormat="1" hidden="1" x14ac:dyDescent="0.25">
      <c r="B123" s="169"/>
      <c r="C123" s="243"/>
      <c r="D123" s="141"/>
      <c r="E123" s="141"/>
      <c r="F123" s="207"/>
      <c r="G123" s="207"/>
      <c r="I123" s="437"/>
    </row>
    <row r="124" spans="2:9" s="180" customFormat="1" hidden="1" x14ac:dyDescent="0.25">
      <c r="B124" s="169"/>
      <c r="C124" s="243"/>
      <c r="D124" s="141"/>
      <c r="E124" s="141"/>
      <c r="F124" s="207"/>
      <c r="G124" s="207"/>
      <c r="I124" s="437"/>
    </row>
    <row r="125" spans="2:9" s="180" customFormat="1" ht="28.9" hidden="1" customHeight="1" x14ac:dyDescent="0.25">
      <c r="B125" s="169"/>
      <c r="C125" s="243"/>
      <c r="D125" s="141"/>
      <c r="E125" s="141"/>
      <c r="F125" s="207"/>
      <c r="G125" s="207"/>
      <c r="I125" s="437"/>
    </row>
    <row r="126" spans="2:9" s="180" customFormat="1" ht="28.9" hidden="1" customHeight="1" x14ac:dyDescent="0.25">
      <c r="B126" s="169"/>
      <c r="C126" s="243"/>
      <c r="D126" s="141"/>
      <c r="E126" s="141"/>
      <c r="F126" s="207"/>
      <c r="G126" s="207"/>
      <c r="I126" s="437"/>
    </row>
    <row r="127" spans="2:9" s="180" customFormat="1" ht="28.9" hidden="1" customHeight="1" x14ac:dyDescent="0.25">
      <c r="B127" s="169"/>
      <c r="C127" s="243"/>
      <c r="D127" s="141"/>
      <c r="E127" s="141"/>
      <c r="F127" s="207"/>
      <c r="G127" s="207"/>
      <c r="I127" s="437"/>
    </row>
    <row r="128" spans="2:9" s="180" customFormat="1" ht="28.9" hidden="1" customHeight="1" x14ac:dyDescent="0.25">
      <c r="B128" s="169"/>
      <c r="C128" s="243"/>
      <c r="D128" s="141"/>
      <c r="E128" s="141"/>
      <c r="F128" s="207"/>
      <c r="G128" s="207"/>
      <c r="I128" s="437"/>
    </row>
    <row r="129" spans="2:9" s="180" customFormat="1" ht="28.9" hidden="1" customHeight="1" x14ac:dyDescent="0.25">
      <c r="B129" s="169"/>
      <c r="C129" s="243"/>
      <c r="D129" s="141"/>
      <c r="E129" s="141"/>
      <c r="F129" s="207"/>
      <c r="G129" s="207"/>
      <c r="I129" s="437"/>
    </row>
    <row r="130" spans="2:9" s="180" customFormat="1" ht="28.9" hidden="1" customHeight="1" x14ac:dyDescent="0.25">
      <c r="B130" s="169"/>
      <c r="C130" s="243"/>
      <c r="D130" s="141"/>
      <c r="E130" s="141"/>
      <c r="F130" s="207"/>
      <c r="G130" s="207"/>
      <c r="I130" s="437"/>
    </row>
    <row r="131" spans="2:9" s="180" customFormat="1" ht="28.9" hidden="1" customHeight="1" x14ac:dyDescent="0.25">
      <c r="B131" s="169"/>
      <c r="C131" s="243"/>
      <c r="D131" s="141"/>
      <c r="E131" s="141"/>
      <c r="F131" s="207"/>
      <c r="G131" s="207"/>
      <c r="I131" s="437"/>
    </row>
    <row r="132" spans="2:9" s="180" customFormat="1" ht="14.45" hidden="1" customHeight="1" x14ac:dyDescent="0.25">
      <c r="B132" s="169"/>
      <c r="C132" s="243"/>
      <c r="D132" s="141"/>
      <c r="E132" s="141"/>
      <c r="F132" s="207"/>
      <c r="G132" s="207"/>
      <c r="I132" s="437"/>
    </row>
    <row r="133" spans="2:9" s="180" customFormat="1" ht="14.45" hidden="1" customHeight="1" x14ac:dyDescent="0.25">
      <c r="B133" s="169"/>
      <c r="C133" s="243"/>
      <c r="D133" s="141"/>
      <c r="E133" s="141"/>
      <c r="F133" s="207"/>
      <c r="G133" s="207"/>
      <c r="I133" s="437"/>
    </row>
    <row r="134" spans="2:9" s="180" customFormat="1" ht="14.45" hidden="1" customHeight="1" x14ac:dyDescent="0.25">
      <c r="B134" s="169"/>
      <c r="C134" s="243"/>
      <c r="D134" s="141"/>
      <c r="E134" s="141"/>
      <c r="F134" s="207"/>
      <c r="G134" s="207"/>
      <c r="I134" s="437"/>
    </row>
    <row r="135" spans="2:9" s="180" customFormat="1" ht="14.45" hidden="1" customHeight="1" x14ac:dyDescent="0.25">
      <c r="B135" s="169"/>
      <c r="C135" s="243"/>
      <c r="D135" s="141"/>
      <c r="E135" s="141"/>
      <c r="F135" s="207"/>
      <c r="G135" s="207"/>
      <c r="I135" s="437"/>
    </row>
    <row r="136" spans="2:9" s="180" customFormat="1" ht="14.45" hidden="1" customHeight="1" x14ac:dyDescent="0.25">
      <c r="B136" s="169"/>
      <c r="C136" s="243"/>
      <c r="D136" s="141"/>
      <c r="E136" s="141"/>
      <c r="F136" s="207"/>
      <c r="G136" s="207"/>
      <c r="I136" s="437"/>
    </row>
    <row r="137" spans="2:9" s="180" customFormat="1" ht="14.45" hidden="1" customHeight="1" x14ac:dyDescent="0.25">
      <c r="B137" s="169"/>
      <c r="C137" s="243"/>
      <c r="D137" s="141"/>
      <c r="E137" s="141"/>
      <c r="F137" s="207"/>
      <c r="G137" s="207"/>
      <c r="I137" s="437"/>
    </row>
    <row r="138" spans="2:9" s="180" customFormat="1" ht="14.45" hidden="1" customHeight="1" x14ac:dyDescent="0.25">
      <c r="B138" s="169"/>
      <c r="C138" s="243"/>
      <c r="D138" s="141"/>
      <c r="E138" s="141"/>
      <c r="F138" s="207"/>
      <c r="G138" s="207"/>
      <c r="I138" s="437"/>
    </row>
    <row r="139" spans="2:9" s="180" customFormat="1" ht="14.45" hidden="1" customHeight="1" x14ac:dyDescent="0.25">
      <c r="B139" s="169"/>
      <c r="C139" s="243"/>
      <c r="D139" s="141"/>
      <c r="E139" s="141"/>
      <c r="F139" s="207"/>
      <c r="G139" s="207"/>
      <c r="I139" s="437"/>
    </row>
    <row r="140" spans="2:9" s="180" customFormat="1" ht="28.9" hidden="1" customHeight="1" x14ac:dyDescent="0.25">
      <c r="B140" s="169"/>
      <c r="C140" s="243"/>
      <c r="D140" s="141"/>
      <c r="E140" s="141"/>
      <c r="F140" s="207"/>
      <c r="G140" s="207"/>
      <c r="I140" s="437"/>
    </row>
    <row r="141" spans="2:9" s="180" customFormat="1" ht="28.9" hidden="1" customHeight="1" x14ac:dyDescent="0.25">
      <c r="B141" s="169"/>
      <c r="C141" s="243"/>
      <c r="D141" s="141"/>
      <c r="E141" s="141"/>
      <c r="F141" s="207"/>
      <c r="G141" s="207"/>
      <c r="I141" s="437"/>
    </row>
    <row r="142" spans="2:9" s="180" customFormat="1" ht="28.9" hidden="1" customHeight="1" x14ac:dyDescent="0.25">
      <c r="B142" s="169"/>
      <c r="C142" s="243"/>
      <c r="D142" s="141"/>
      <c r="E142" s="141"/>
      <c r="F142" s="207"/>
      <c r="G142" s="207"/>
      <c r="I142" s="437"/>
    </row>
    <row r="143" spans="2:9" s="180" customFormat="1" ht="14.45" hidden="1" customHeight="1" x14ac:dyDescent="0.25">
      <c r="B143" s="169"/>
      <c r="C143" s="243"/>
      <c r="D143" s="141"/>
      <c r="E143" s="141"/>
      <c r="F143" s="207"/>
      <c r="G143" s="207"/>
      <c r="I143" s="437"/>
    </row>
    <row r="144" spans="2:9" s="180" customFormat="1" ht="43.15" hidden="1" customHeight="1" x14ac:dyDescent="0.25">
      <c r="B144" s="169"/>
      <c r="C144" s="243"/>
      <c r="D144" s="141"/>
      <c r="E144" s="141"/>
      <c r="F144" s="207"/>
      <c r="G144" s="207"/>
      <c r="I144" s="437"/>
    </row>
    <row r="145" spans="2:17" s="180" customFormat="1" hidden="1" x14ac:dyDescent="0.25">
      <c r="B145" s="169"/>
      <c r="C145" s="243"/>
      <c r="D145" s="141"/>
      <c r="E145" s="141"/>
      <c r="F145" s="207"/>
      <c r="G145" s="207"/>
      <c r="I145" s="437"/>
    </row>
    <row r="146" spans="2:17" s="180" customFormat="1" hidden="1" x14ac:dyDescent="0.25">
      <c r="B146" s="169"/>
      <c r="C146" s="243"/>
      <c r="D146" s="141"/>
      <c r="E146" s="141"/>
      <c r="F146" s="207"/>
      <c r="G146" s="207"/>
      <c r="I146" s="437"/>
    </row>
    <row r="147" spans="2:17" s="180" customFormat="1" hidden="1" x14ac:dyDescent="0.25">
      <c r="B147" s="169"/>
      <c r="C147" s="243"/>
      <c r="D147" s="141"/>
      <c r="E147" s="141"/>
      <c r="F147" s="207"/>
      <c r="G147" s="207"/>
      <c r="I147" s="437"/>
    </row>
    <row r="148" spans="2:17" s="180" customFormat="1" hidden="1" x14ac:dyDescent="0.25">
      <c r="B148" s="169"/>
      <c r="C148" s="243"/>
      <c r="D148" s="141"/>
      <c r="E148" s="141"/>
      <c r="F148" s="207"/>
      <c r="G148" s="207"/>
      <c r="I148" s="437"/>
    </row>
    <row r="149" spans="2:17" s="180" customFormat="1" ht="28.9" hidden="1" customHeight="1" x14ac:dyDescent="0.25">
      <c r="B149" s="169"/>
      <c r="C149" s="243"/>
      <c r="D149" s="141"/>
      <c r="E149" s="141"/>
      <c r="F149" s="207"/>
      <c r="G149" s="207"/>
      <c r="I149" s="437"/>
    </row>
    <row r="150" spans="2:17" s="180" customFormat="1" ht="28.9" hidden="1" customHeight="1" x14ac:dyDescent="0.25">
      <c r="B150" s="169"/>
      <c r="C150" s="243"/>
      <c r="D150" s="141"/>
      <c r="E150" s="141"/>
      <c r="F150" s="207"/>
      <c r="G150" s="207"/>
      <c r="I150" s="437"/>
    </row>
    <row r="151" spans="2:17" s="180" customFormat="1" hidden="1" x14ac:dyDescent="0.25">
      <c r="B151" s="169"/>
      <c r="C151" s="243"/>
      <c r="D151" s="141"/>
      <c r="E151" s="141"/>
      <c r="F151" s="207"/>
      <c r="G151" s="207"/>
      <c r="I151" s="437"/>
    </row>
    <row r="152" spans="2:17" s="180" customFormat="1" ht="28.9" hidden="1" customHeight="1" x14ac:dyDescent="0.25">
      <c r="B152" s="169"/>
      <c r="C152" s="243"/>
      <c r="D152" s="141"/>
      <c r="E152" s="141"/>
      <c r="F152" s="207"/>
      <c r="G152" s="207"/>
      <c r="I152" s="437"/>
    </row>
    <row r="153" spans="2:17" s="180" customFormat="1" hidden="1" x14ac:dyDescent="0.25">
      <c r="B153" s="169"/>
      <c r="C153" s="243"/>
      <c r="D153" s="141"/>
      <c r="E153" s="141"/>
      <c r="F153" s="207"/>
      <c r="G153" s="207"/>
      <c r="I153" s="437"/>
    </row>
    <row r="154" spans="2:17" s="180" customFormat="1" ht="14.45" hidden="1" customHeight="1" x14ac:dyDescent="0.25">
      <c r="B154" s="366"/>
      <c r="C154" s="341"/>
      <c r="D154" s="340"/>
      <c r="E154" s="342"/>
      <c r="F154" s="343"/>
      <c r="G154" s="343"/>
      <c r="I154" s="437"/>
    </row>
    <row r="155" spans="2:17" s="180" customFormat="1" ht="14.45" customHeight="1" x14ac:dyDescent="0.25">
      <c r="B155" s="344"/>
      <c r="C155" s="35"/>
      <c r="D155" s="345"/>
      <c r="E155" s="340"/>
      <c r="F155" s="346"/>
      <c r="G155" s="347"/>
    </row>
    <row r="156" spans="2:17" s="180" customFormat="1" x14ac:dyDescent="0.25">
      <c r="B156" s="348"/>
      <c r="C156" s="11" t="s">
        <v>17</v>
      </c>
      <c r="D156" s="348"/>
      <c r="E156" s="348"/>
      <c r="F156" s="348"/>
      <c r="G156" s="349">
        <f>+G11+G29</f>
        <v>0</v>
      </c>
      <c r="I156" s="434"/>
    </row>
    <row r="157" spans="2:17" s="180" customFormat="1" x14ac:dyDescent="0.25">
      <c r="B157" s="348"/>
      <c r="C157" s="11" t="s">
        <v>458</v>
      </c>
      <c r="D157" s="350">
        <v>0</v>
      </c>
      <c r="E157" s="348"/>
      <c r="F157" s="348"/>
      <c r="G157" s="349">
        <f>+G156*D157</f>
        <v>0</v>
      </c>
      <c r="J157" s="391" t="s">
        <v>158</v>
      </c>
      <c r="K157" s="391"/>
      <c r="L157" s="391"/>
      <c r="M157" s="391"/>
      <c r="N157" s="391"/>
      <c r="O157" s="384" t="s">
        <v>427</v>
      </c>
      <c r="P157" s="384" t="s">
        <v>428</v>
      </c>
      <c r="Q157" s="352" t="s">
        <v>429</v>
      </c>
    </row>
    <row r="158" spans="2:17" x14ac:dyDescent="0.25">
      <c r="B158" s="348"/>
      <c r="C158" s="11" t="s">
        <v>459</v>
      </c>
      <c r="D158" s="350">
        <v>0</v>
      </c>
      <c r="E158" s="348"/>
      <c r="F158" s="348"/>
      <c r="G158" s="349">
        <f>+G156*D158</f>
        <v>0</v>
      </c>
      <c r="J158" s="312"/>
      <c r="K158" s="312"/>
      <c r="L158" s="312"/>
      <c r="M158" s="312"/>
      <c r="N158" s="312"/>
      <c r="O158" s="312"/>
      <c r="P158" s="312"/>
      <c r="Q158" s="2"/>
    </row>
    <row r="159" spans="2:17" x14ac:dyDescent="0.25">
      <c r="B159" s="348"/>
      <c r="C159" s="11" t="s">
        <v>181</v>
      </c>
      <c r="D159" s="350">
        <v>0</v>
      </c>
      <c r="E159" s="348"/>
      <c r="F159" s="348"/>
      <c r="G159" s="349">
        <f>+G156*D159</f>
        <v>0</v>
      </c>
      <c r="J159" s="312"/>
      <c r="K159" s="312"/>
      <c r="L159" s="312"/>
      <c r="M159" s="312"/>
      <c r="N159" s="312"/>
      <c r="O159" s="312"/>
      <c r="P159" s="312"/>
      <c r="Q159" s="2"/>
    </row>
    <row r="160" spans="2:17" x14ac:dyDescent="0.25">
      <c r="B160" s="348"/>
      <c r="C160" s="11" t="s">
        <v>183</v>
      </c>
      <c r="D160" s="350">
        <v>0.19</v>
      </c>
      <c r="E160" s="348"/>
      <c r="F160" s="348"/>
      <c r="G160" s="349">
        <f>+G158*D160</f>
        <v>0</v>
      </c>
      <c r="J160" s="312"/>
      <c r="K160" s="312"/>
      <c r="L160" s="312"/>
      <c r="M160" s="312"/>
      <c r="N160" s="312"/>
      <c r="O160" s="312"/>
      <c r="P160" s="312"/>
      <c r="Q160" s="2"/>
    </row>
    <row r="161" spans="2:17" x14ac:dyDescent="0.25">
      <c r="B161" s="348"/>
      <c r="C161" s="11" t="s">
        <v>19</v>
      </c>
      <c r="D161" s="348"/>
      <c r="E161" s="348"/>
      <c r="F161" s="348"/>
      <c r="G161" s="353">
        <f>+G156+G157+G158+G159+G160</f>
        <v>0</v>
      </c>
      <c r="I161" s="205"/>
      <c r="J161" s="304" t="str">
        <f>+[28]PPTO!$F$25</f>
        <v>Suministro e Instalación de tubería de la Red de Acueducto</v>
      </c>
      <c r="O161" s="305">
        <f>+[28]PPTO!$I$25</f>
        <v>271588138.61563325</v>
      </c>
      <c r="P161" s="305">
        <f>+G12+G52+G20</f>
        <v>0</v>
      </c>
      <c r="Q161" s="149" t="e">
        <f>+(O161-P161)/P161</f>
        <v>#DIV/0!</v>
      </c>
    </row>
    <row r="162" spans="2:17" x14ac:dyDescent="0.25">
      <c r="B162" s="40"/>
      <c r="C162" s="11"/>
      <c r="D162" s="40"/>
      <c r="E162" s="40"/>
      <c r="F162" s="40"/>
      <c r="G162" s="205"/>
      <c r="I162" s="205"/>
      <c r="J162" s="304" t="str">
        <f>+[28]PPTO!$F$26</f>
        <v>Suministro e instalación de accesorios</v>
      </c>
      <c r="O162" s="305">
        <f>+[28]PPTO!$I$26</f>
        <v>32100327.839999996</v>
      </c>
      <c r="P162" s="305">
        <f>+G94+G93+G92+G91+G90+G89+G88</f>
        <v>0</v>
      </c>
      <c r="Q162" s="149" t="e">
        <f>+(O162-P162)/P162</f>
        <v>#DIV/0!</v>
      </c>
    </row>
    <row r="163" spans="2:17" hidden="1" x14ac:dyDescent="0.25">
      <c r="B163" s="40"/>
      <c r="C163" s="11" t="s">
        <v>426</v>
      </c>
      <c r="D163" s="40"/>
      <c r="E163" s="40"/>
      <c r="F163" s="293">
        <v>7.0000000000000007E-2</v>
      </c>
      <c r="G163" s="205">
        <f>+G161*F163</f>
        <v>0</v>
      </c>
      <c r="I163" s="205"/>
      <c r="J163" s="304" t="str">
        <f>+[28]PPTO!$F$27</f>
        <v>Suministro y construcción de anclajes para accesorios</v>
      </c>
      <c r="O163" s="305">
        <f>+[28]PPTO!$I$27</f>
        <v>64601047.737999998</v>
      </c>
      <c r="P163" s="305">
        <f>+G86+G87</f>
        <v>0</v>
      </c>
      <c r="Q163" s="149" t="e">
        <f>+(O163-P163)/P163</f>
        <v>#DIV/0!</v>
      </c>
    </row>
    <row r="164" spans="2:17" hidden="1" x14ac:dyDescent="0.25">
      <c r="B164" s="40"/>
      <c r="C164" s="11"/>
      <c r="D164" s="40"/>
      <c r="E164" s="40"/>
      <c r="F164" s="40"/>
      <c r="G164" s="205"/>
      <c r="I164" s="205"/>
      <c r="J164" s="304" t="str">
        <f>+[28]PPTO!$F$28</f>
        <v>Suministro e instalación de válvulas y cajas de la Red de Acueducto</v>
      </c>
      <c r="O164" s="305">
        <f>+[28]PPTO!$I$28</f>
        <v>12997595.069563657</v>
      </c>
      <c r="P164" s="305">
        <f>+G105+G104+G101+G102+G103+G100+G99+G98+G97+G96+G95</f>
        <v>0</v>
      </c>
      <c r="Q164" s="149" t="e">
        <f>+(O164-P164)/P164</f>
        <v>#DIV/0!</v>
      </c>
    </row>
    <row r="165" spans="2:17" hidden="1" x14ac:dyDescent="0.25">
      <c r="B165" s="40"/>
      <c r="C165" s="11" t="s">
        <v>4</v>
      </c>
      <c r="D165" s="40"/>
      <c r="E165" s="40"/>
      <c r="F165" s="40"/>
      <c r="G165" s="205">
        <f>+G163+G161</f>
        <v>0</v>
      </c>
      <c r="I165" s="205"/>
      <c r="J165" s="165" t="s">
        <v>430</v>
      </c>
      <c r="O165" s="306">
        <f>SUM(O161:O164)</f>
        <v>381287109.26319683</v>
      </c>
      <c r="P165" s="306">
        <f>SUM(P161:P164)</f>
        <v>0</v>
      </c>
      <c r="Q165" s="149" t="e">
        <f>+(O165-P165)/P165</f>
        <v>#DIV/0!</v>
      </c>
    </row>
    <row r="166" spans="2:17" hidden="1" x14ac:dyDescent="0.25">
      <c r="B166" s="40"/>
      <c r="C166" s="11"/>
      <c r="D166" s="40"/>
      <c r="E166" s="40"/>
      <c r="F166" s="40"/>
      <c r="G166" s="205"/>
      <c r="I166" s="205"/>
      <c r="O166" s="316"/>
      <c r="P166" s="308"/>
    </row>
    <row r="167" spans="2:17" x14ac:dyDescent="0.25">
      <c r="B167" s="251"/>
      <c r="C167" s="11"/>
      <c r="J167" s="304" t="str">
        <f>+[28]PPTO!$F$47</f>
        <v>Administración y Gastos Generales</v>
      </c>
      <c r="M167" s="307">
        <f>+[28]PPTO!$H$47</f>
        <v>0.12</v>
      </c>
      <c r="O167" s="305">
        <f>+O165*M167</f>
        <v>45754453.11158362</v>
      </c>
      <c r="P167" s="305">
        <f>+G157</f>
        <v>0</v>
      </c>
    </row>
    <row r="168" spans="2:17" x14ac:dyDescent="0.25">
      <c r="B168" s="236"/>
      <c r="C168" s="11"/>
      <c r="J168" s="304" t="str">
        <f>+[28]PPTO!$F$50</f>
        <v>Imprevistos 8% (CD + ADMON + GG)</v>
      </c>
      <c r="M168" s="307">
        <f>+[28]PPTO!$H$50</f>
        <v>0.08</v>
      </c>
      <c r="O168" s="305">
        <f>+O165*M168</f>
        <v>30502968.741055746</v>
      </c>
      <c r="P168" s="305"/>
    </row>
    <row r="169" spans="2:17" x14ac:dyDescent="0.25">
      <c r="B169" s="310"/>
      <c r="C169" s="11"/>
      <c r="O169" s="316"/>
      <c r="P169" s="305"/>
    </row>
    <row r="170" spans="2:17" x14ac:dyDescent="0.25">
      <c r="O170" s="316"/>
      <c r="P170" s="305"/>
    </row>
    <row r="171" spans="2:17" x14ac:dyDescent="0.25">
      <c r="F171" s="314"/>
      <c r="G171" s="204"/>
      <c r="J171" s="304" t="str">
        <f>+[28]PPTO!$F$53</f>
        <v>Interventoría</v>
      </c>
      <c r="M171" s="307">
        <f>+[28]PPTO!$H$53</f>
        <v>7.0000000000000007E-2</v>
      </c>
      <c r="O171" s="305">
        <f>+O165*M171</f>
        <v>26690097.64842378</v>
      </c>
      <c r="P171" s="305">
        <f>+G163</f>
        <v>0</v>
      </c>
    </row>
    <row r="172" spans="2:17" x14ac:dyDescent="0.25">
      <c r="E172" s="267"/>
      <c r="O172" s="316"/>
      <c r="P172" s="305"/>
    </row>
    <row r="173" spans="2:17" x14ac:dyDescent="0.25">
      <c r="F173" s="316"/>
      <c r="J173" s="165" t="s">
        <v>4</v>
      </c>
      <c r="O173" s="306">
        <f>+O171+O168+O167+O165</f>
        <v>484234628.76425993</v>
      </c>
      <c r="P173" s="306">
        <f>+P171+P167+P165</f>
        <v>0</v>
      </c>
      <c r="Q173" s="149" t="e">
        <f>+(O173-P173)/P173</f>
        <v>#DIV/0!</v>
      </c>
    </row>
    <row r="174" spans="2:17" x14ac:dyDescent="0.25">
      <c r="O174" s="316"/>
    </row>
    <row r="175" spans="2:17" x14ac:dyDescent="0.25">
      <c r="E175" s="2"/>
      <c r="F175" s="312"/>
      <c r="G175" s="312"/>
      <c r="H175" s="2"/>
      <c r="I175" s="312"/>
      <c r="O175" s="305">
        <f>+O173-G165</f>
        <v>484234628.76425993</v>
      </c>
    </row>
    <row r="176" spans="2:17" x14ac:dyDescent="0.25">
      <c r="E176" s="2"/>
      <c r="F176" s="205"/>
      <c r="G176" s="289"/>
      <c r="H176" s="312"/>
      <c r="I176" s="205"/>
      <c r="O176" s="309" t="e">
        <f>+O175/G165</f>
        <v>#DIV/0!</v>
      </c>
    </row>
    <row r="177" spans="5:9" x14ac:dyDescent="0.25">
      <c r="E177" s="2"/>
      <c r="F177" s="205"/>
      <c r="G177" s="289"/>
      <c r="H177" s="312"/>
      <c r="I177" s="205"/>
    </row>
    <row r="178" spans="5:9" x14ac:dyDescent="0.25">
      <c r="E178" s="2"/>
      <c r="F178" s="205"/>
      <c r="G178" s="289"/>
      <c r="H178" s="312"/>
      <c r="I178" s="205"/>
    </row>
    <row r="179" spans="5:9" x14ac:dyDescent="0.25">
      <c r="E179" s="2"/>
    </row>
    <row r="180" spans="5:9" x14ac:dyDescent="0.25">
      <c r="E180" s="2"/>
    </row>
    <row r="181" spans="5:9" x14ac:dyDescent="0.25">
      <c r="E181" s="2"/>
    </row>
    <row r="182" spans="5:9" x14ac:dyDescent="0.25">
      <c r="E182" s="2"/>
    </row>
    <row r="183" spans="5:9" x14ac:dyDescent="0.25">
      <c r="I183" s="205"/>
    </row>
    <row r="184" spans="5:9" x14ac:dyDescent="0.25">
      <c r="F184" s="205"/>
      <c r="G184" s="289"/>
      <c r="I184" s="205"/>
    </row>
  </sheetData>
  <mergeCells count="7">
    <mergeCell ref="J157:N157"/>
    <mergeCell ref="B3:G3"/>
    <mergeCell ref="B4:G4"/>
    <mergeCell ref="B5:G5"/>
    <mergeCell ref="B6:G6"/>
    <mergeCell ref="F7:G7"/>
    <mergeCell ref="B8:G8"/>
  </mergeCells>
  <pageMargins left="0.70866141732283472" right="0.70866141732283472" top="0.74803149606299213" bottom="0.74803149606299213" header="0.31496062992125984" footer="0.31496062992125984"/>
  <pageSetup scale="60" orientation="portrait" r:id="rId1"/>
  <ignoredErrors>
    <ignoredError sqref="G159"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63"/>
  <sheetViews>
    <sheetView tabSelected="1" zoomScale="85" zoomScaleNormal="85" zoomScaleSheetLayoutView="80" workbookViewId="0">
      <selection activeCell="K44" sqref="K44"/>
    </sheetView>
  </sheetViews>
  <sheetFormatPr baseColWidth="10" defaultColWidth="11.5703125" defaultRowHeight="15" x14ac:dyDescent="0.25"/>
  <cols>
    <col min="1" max="1" width="5" style="165" customWidth="1"/>
    <col min="2" max="2" width="11.5703125" style="165"/>
    <col min="3" max="3" width="75.28515625" style="165" customWidth="1"/>
    <col min="4" max="4" width="11.5703125" style="165"/>
    <col min="5" max="5" width="13.85546875" style="165" bestFit="1" customWidth="1"/>
    <col min="6" max="6" width="15.85546875" style="165" customWidth="1"/>
    <col min="7" max="7" width="15.140625" style="165" bestFit="1" customWidth="1"/>
    <col min="8" max="8" width="1.140625" style="165" customWidth="1"/>
    <col min="9" max="16384" width="11.5703125" style="165"/>
  </cols>
  <sheetData>
    <row r="3" spans="2:8" x14ac:dyDescent="0.25">
      <c r="B3" s="396" t="s">
        <v>417</v>
      </c>
      <c r="C3" s="396"/>
      <c r="D3" s="396"/>
      <c r="E3" s="396"/>
      <c r="F3" s="396"/>
      <c r="G3" s="396"/>
    </row>
    <row r="4" spans="2:8" x14ac:dyDescent="0.25">
      <c r="B4" s="396" t="s">
        <v>431</v>
      </c>
      <c r="C4" s="396"/>
      <c r="D4" s="396"/>
      <c r="E4" s="396"/>
      <c r="F4" s="396"/>
      <c r="G4" s="396"/>
    </row>
    <row r="5" spans="2:8" x14ac:dyDescent="0.25">
      <c r="B5" s="394" t="str">
        <f>+'Formulario_1 Inter'!$B$5</f>
        <v>C.PU.- EMSERCOTA-002-2019</v>
      </c>
      <c r="C5" s="394"/>
      <c r="D5" s="394"/>
      <c r="E5" s="394"/>
      <c r="F5" s="394"/>
      <c r="G5" s="394"/>
      <c r="H5" s="5"/>
    </row>
    <row r="6" spans="2:8" ht="45" customHeight="1" x14ac:dyDescent="0.25">
      <c r="B6" s="394" t="str">
        <f>+'Formulario_1 Inter'!B7</f>
        <v>REALIZAR LA CONSTRUCCION DE LA INFRAESTRUCTURA PARA EL ABASTECIMIENTO DE AGUA POTABLE MEDIANTE LA INTERCONEXIÓN AL SISTEMA DE ACUEDUCTO OPERADO POR LA EMPRESA DE ACUEDUCTO DE BOGOTÁ SA E.S.P. AL MUNICIPIO DE COTA – PRIMERA ETAPA</v>
      </c>
      <c r="C6" s="394"/>
      <c r="D6" s="394"/>
      <c r="E6" s="394"/>
      <c r="F6" s="394"/>
      <c r="G6" s="394"/>
      <c r="H6" s="5"/>
    </row>
    <row r="7" spans="2:8" x14ac:dyDescent="0.25">
      <c r="F7" s="397"/>
      <c r="G7" s="397"/>
    </row>
    <row r="8" spans="2:8" x14ac:dyDescent="0.25">
      <c r="B8" s="398" t="s">
        <v>487</v>
      </c>
      <c r="C8" s="398"/>
      <c r="D8" s="398"/>
      <c r="E8" s="398"/>
      <c r="F8" s="398"/>
      <c r="G8" s="398"/>
    </row>
    <row r="9" spans="2:8" ht="30" x14ac:dyDescent="0.25">
      <c r="B9" s="329" t="s">
        <v>10</v>
      </c>
      <c r="C9" s="329" t="s">
        <v>5</v>
      </c>
      <c r="D9" s="329" t="s">
        <v>6</v>
      </c>
      <c r="E9" s="330" t="s">
        <v>7</v>
      </c>
      <c r="F9" s="330" t="s">
        <v>279</v>
      </c>
      <c r="G9" s="330" t="s">
        <v>280</v>
      </c>
    </row>
    <row r="10" spans="2:8" x14ac:dyDescent="0.25">
      <c r="B10" s="169"/>
      <c r="C10" s="169"/>
      <c r="D10" s="141"/>
      <c r="E10" s="141"/>
      <c r="F10" s="207"/>
      <c r="G10" s="207"/>
    </row>
    <row r="11" spans="2:8" s="180" customFormat="1" x14ac:dyDescent="0.25">
      <c r="B11" s="385">
        <v>1</v>
      </c>
      <c r="C11" s="14" t="s">
        <v>421</v>
      </c>
      <c r="D11" s="141"/>
      <c r="E11" s="141"/>
      <c r="F11" s="207"/>
      <c r="G11" s="362">
        <f>SUM(G12:G15)</f>
        <v>0</v>
      </c>
    </row>
    <row r="12" spans="2:8" s="180" customFormat="1" x14ac:dyDescent="0.25">
      <c r="B12" s="141">
        <v>1.1000000000000001</v>
      </c>
      <c r="C12" s="230" t="str">
        <f>+[20]SABANA_CENTRO!$C$692</f>
        <v>ENTIBADO TIPO 2 (1/7 UTILIZACIONES)</v>
      </c>
      <c r="D12" s="141" t="s">
        <v>84</v>
      </c>
      <c r="E12" s="323">
        <v>688</v>
      </c>
      <c r="F12" s="207">
        <v>0</v>
      </c>
      <c r="G12" s="207">
        <f>+E12*F12</f>
        <v>0</v>
      </c>
    </row>
    <row r="13" spans="2:8" s="180" customFormat="1" x14ac:dyDescent="0.25">
      <c r="B13" s="363">
        <v>1.2</v>
      </c>
      <c r="C13" s="230" t="str">
        <f>+[20]SABANA_CENTRO!$C$693</f>
        <v>RELLENO CON MATERIAL DE EXCAVACIÓN</v>
      </c>
      <c r="D13" s="141" t="s">
        <v>88</v>
      </c>
      <c r="E13" s="323">
        <v>207.37</v>
      </c>
      <c r="F13" s="207">
        <v>0</v>
      </c>
      <c r="G13" s="207">
        <f>+E13*F13</f>
        <v>0</v>
      </c>
    </row>
    <row r="14" spans="2:8" s="180" customFormat="1" x14ac:dyDescent="0.25">
      <c r="B14" s="141">
        <v>1.3</v>
      </c>
      <c r="C14" s="230" t="str">
        <f>+[20]SABANA_CENTRO!$C$695</f>
        <v>RELLENO TIPO 2 "RECEBO"</v>
      </c>
      <c r="D14" s="141" t="s">
        <v>88</v>
      </c>
      <c r="E14" s="323">
        <v>60.95</v>
      </c>
      <c r="F14" s="207">
        <v>0</v>
      </c>
      <c r="G14" s="207">
        <f>+E14*F14</f>
        <v>0</v>
      </c>
    </row>
    <row r="15" spans="2:8" s="180" customFormat="1" x14ac:dyDescent="0.25">
      <c r="B15" s="141">
        <v>1.4</v>
      </c>
      <c r="C15" s="230" t="str">
        <f>+[20]SABANA_CENTRO!$C$699</f>
        <v>RELLENO TIPO 7 "ARENA DE PEÑA"</v>
      </c>
      <c r="D15" s="141" t="s">
        <v>88</v>
      </c>
      <c r="E15" s="323">
        <v>41.28</v>
      </c>
      <c r="F15" s="207">
        <v>0</v>
      </c>
      <c r="G15" s="207">
        <f>+E15*F15</f>
        <v>0</v>
      </c>
    </row>
    <row r="16" spans="2:8" s="180" customFormat="1" x14ac:dyDescent="0.25">
      <c r="B16" s="141"/>
      <c r="C16" s="230"/>
      <c r="D16" s="141"/>
      <c r="E16" s="229"/>
      <c r="F16" s="207"/>
      <c r="G16" s="207"/>
    </row>
    <row r="17" spans="2:7" s="180" customFormat="1" x14ac:dyDescent="0.25">
      <c r="B17" s="385">
        <v>2</v>
      </c>
      <c r="C17" s="14" t="s">
        <v>366</v>
      </c>
      <c r="D17" s="141"/>
      <c r="E17" s="141"/>
      <c r="F17" s="207"/>
      <c r="G17" s="334">
        <f>+G18+G19</f>
        <v>0</v>
      </c>
    </row>
    <row r="18" spans="2:7" s="180" customFormat="1" x14ac:dyDescent="0.25">
      <c r="B18" s="333">
        <v>2.1</v>
      </c>
      <c r="C18" s="243" t="str">
        <f>+[27]Formulario_2!$C$68</f>
        <v>RETIRO DE SOBRANTES A UNA DISTANCIA DE 5 KM (INCLUYE CARGUE)</v>
      </c>
      <c r="D18" s="333" t="s">
        <v>88</v>
      </c>
      <c r="E18" s="323">
        <v>102.23</v>
      </c>
      <c r="F18" s="209">
        <v>0</v>
      </c>
      <c r="G18" s="209">
        <f>+F18*E18</f>
        <v>0</v>
      </c>
    </row>
    <row r="19" spans="2:7" s="180" customFormat="1" ht="30" x14ac:dyDescent="0.25">
      <c r="B19" s="333">
        <v>2.2000000000000002</v>
      </c>
      <c r="C19" s="243" t="str">
        <f>+[20]SABANA_CENTRO!$C$515</f>
        <v>EXCAVACIÓN MANUAL EN MATERIAL COMÚN H=0.0-2.0 M (INCLUYE RETIRO DE SOBRANTES A UNA DISTANCIA MENOR DE 5 KM)</v>
      </c>
      <c r="D19" s="333" t="s">
        <v>88</v>
      </c>
      <c r="E19" s="323">
        <v>309.60000000000002</v>
      </c>
      <c r="F19" s="209">
        <v>0</v>
      </c>
      <c r="G19" s="209">
        <f>+E19*F19</f>
        <v>0</v>
      </c>
    </row>
    <row r="20" spans="2:7" s="180" customFormat="1" x14ac:dyDescent="0.25">
      <c r="B20" s="141"/>
      <c r="C20" s="230"/>
      <c r="D20" s="141"/>
      <c r="E20" s="229"/>
      <c r="F20" s="207"/>
      <c r="G20" s="207"/>
    </row>
    <row r="21" spans="2:7" s="180" customFormat="1" x14ac:dyDescent="0.25">
      <c r="B21" s="385">
        <v>3</v>
      </c>
      <c r="C21" s="15" t="s">
        <v>420</v>
      </c>
      <c r="D21" s="141"/>
      <c r="E21" s="229"/>
      <c r="F21" s="207"/>
      <c r="G21" s="334">
        <f>SUM(G22:G36)</f>
        <v>0</v>
      </c>
    </row>
    <row r="22" spans="2:7" s="335" customFormat="1" x14ac:dyDescent="0.25">
      <c r="B22" s="324">
        <v>3.1</v>
      </c>
      <c r="C22" s="325" t="s">
        <v>474</v>
      </c>
      <c r="D22" s="326" t="s">
        <v>33</v>
      </c>
      <c r="E22" s="323">
        <v>160</v>
      </c>
      <c r="F22" s="209">
        <v>0</v>
      </c>
      <c r="G22" s="209">
        <f t="shared" ref="G22:G36" si="0">+F22*E22</f>
        <v>0</v>
      </c>
    </row>
    <row r="23" spans="2:7" s="335" customFormat="1" x14ac:dyDescent="0.25">
      <c r="B23" s="324">
        <v>3.2</v>
      </c>
      <c r="C23" s="325" t="s">
        <v>475</v>
      </c>
      <c r="D23" s="326" t="s">
        <v>425</v>
      </c>
      <c r="E23" s="323">
        <v>40</v>
      </c>
      <c r="F23" s="209">
        <v>0</v>
      </c>
      <c r="G23" s="209">
        <f t="shared" si="0"/>
        <v>0</v>
      </c>
    </row>
    <row r="24" spans="2:7" s="335" customFormat="1" x14ac:dyDescent="0.25">
      <c r="B24" s="324">
        <v>3.3</v>
      </c>
      <c r="C24" s="325" t="s">
        <v>476</v>
      </c>
      <c r="D24" s="326" t="s">
        <v>425</v>
      </c>
      <c r="E24" s="323">
        <v>3</v>
      </c>
      <c r="F24" s="209">
        <v>0</v>
      </c>
      <c r="G24" s="209">
        <f t="shared" si="0"/>
        <v>0</v>
      </c>
    </row>
    <row r="25" spans="2:7" s="335" customFormat="1" x14ac:dyDescent="0.25">
      <c r="B25" s="324">
        <v>3.4</v>
      </c>
      <c r="C25" s="325" t="s">
        <v>477</v>
      </c>
      <c r="D25" s="326" t="s">
        <v>425</v>
      </c>
      <c r="E25" s="323">
        <v>3</v>
      </c>
      <c r="F25" s="209">
        <v>0</v>
      </c>
      <c r="G25" s="209">
        <f t="shared" si="0"/>
        <v>0</v>
      </c>
    </row>
    <row r="26" spans="2:7" s="335" customFormat="1" x14ac:dyDescent="0.25">
      <c r="B26" s="324">
        <v>3.5</v>
      </c>
      <c r="C26" s="325" t="s">
        <v>478</v>
      </c>
      <c r="D26" s="326" t="s">
        <v>425</v>
      </c>
      <c r="E26" s="323">
        <v>2</v>
      </c>
      <c r="F26" s="209">
        <v>0</v>
      </c>
      <c r="G26" s="209">
        <f t="shared" si="0"/>
        <v>0</v>
      </c>
    </row>
    <row r="27" spans="2:7" s="335" customFormat="1" x14ac:dyDescent="0.25">
      <c r="B27" s="324">
        <v>3.6</v>
      </c>
      <c r="C27" s="325" t="s">
        <v>479</v>
      </c>
      <c r="D27" s="326" t="s">
        <v>425</v>
      </c>
      <c r="E27" s="323">
        <v>75</v>
      </c>
      <c r="F27" s="209">
        <v>0</v>
      </c>
      <c r="G27" s="209">
        <f t="shared" si="0"/>
        <v>0</v>
      </c>
    </row>
    <row r="28" spans="2:7" s="335" customFormat="1" x14ac:dyDescent="0.25">
      <c r="B28" s="324">
        <v>3.7</v>
      </c>
      <c r="C28" s="325" t="s">
        <v>480</v>
      </c>
      <c r="D28" s="326" t="s">
        <v>425</v>
      </c>
      <c r="E28" s="323">
        <v>385</v>
      </c>
      <c r="F28" s="209">
        <v>0</v>
      </c>
      <c r="G28" s="209">
        <f t="shared" si="0"/>
        <v>0</v>
      </c>
    </row>
    <row r="29" spans="2:7" s="335" customFormat="1" x14ac:dyDescent="0.25">
      <c r="B29" s="324">
        <v>3.9</v>
      </c>
      <c r="C29" s="325" t="s">
        <v>481</v>
      </c>
      <c r="D29" s="326" t="s">
        <v>425</v>
      </c>
      <c r="E29" s="323">
        <v>22</v>
      </c>
      <c r="F29" s="209">
        <v>0</v>
      </c>
      <c r="G29" s="209">
        <f t="shared" si="0"/>
        <v>0</v>
      </c>
    </row>
    <row r="30" spans="2:7" s="335" customFormat="1" x14ac:dyDescent="0.25">
      <c r="B30" s="324">
        <v>3.1</v>
      </c>
      <c r="C30" s="325" t="s">
        <v>482</v>
      </c>
      <c r="D30" s="326" t="s">
        <v>425</v>
      </c>
      <c r="E30" s="323">
        <v>44</v>
      </c>
      <c r="F30" s="209">
        <v>0</v>
      </c>
      <c r="G30" s="209">
        <f t="shared" si="0"/>
        <v>0</v>
      </c>
    </row>
    <row r="31" spans="2:7" s="335" customFormat="1" x14ac:dyDescent="0.25">
      <c r="B31" s="324">
        <v>3.11</v>
      </c>
      <c r="C31" s="325" t="s">
        <v>483</v>
      </c>
      <c r="D31" s="326" t="s">
        <v>425</v>
      </c>
      <c r="E31" s="323">
        <v>23</v>
      </c>
      <c r="F31" s="209">
        <v>0</v>
      </c>
      <c r="G31" s="209">
        <f t="shared" si="0"/>
        <v>0</v>
      </c>
    </row>
    <row r="32" spans="2:7" s="180" customFormat="1" x14ac:dyDescent="0.25">
      <c r="B32" s="324">
        <v>3.12</v>
      </c>
      <c r="C32" s="325" t="s">
        <v>484</v>
      </c>
      <c r="D32" s="326" t="s">
        <v>425</v>
      </c>
      <c r="E32" s="323">
        <v>23</v>
      </c>
      <c r="F32" s="209">
        <v>0</v>
      </c>
      <c r="G32" s="209">
        <f t="shared" si="0"/>
        <v>0</v>
      </c>
    </row>
    <row r="33" spans="2:7" s="335" customFormat="1" ht="30" x14ac:dyDescent="0.25">
      <c r="B33" s="324">
        <v>3.13</v>
      </c>
      <c r="C33" s="325" t="s">
        <v>485</v>
      </c>
      <c r="D33" s="326" t="s">
        <v>425</v>
      </c>
      <c r="E33" s="323">
        <v>8</v>
      </c>
      <c r="F33" s="209">
        <v>0</v>
      </c>
      <c r="G33" s="209">
        <f t="shared" si="0"/>
        <v>0</v>
      </c>
    </row>
    <row r="34" spans="2:7" s="180" customFormat="1" ht="30" x14ac:dyDescent="0.25">
      <c r="B34" s="324">
        <v>3.14</v>
      </c>
      <c r="C34" s="325" t="s">
        <v>486</v>
      </c>
      <c r="D34" s="326" t="s">
        <v>425</v>
      </c>
      <c r="E34" s="323">
        <v>8</v>
      </c>
      <c r="F34" s="209">
        <v>0</v>
      </c>
      <c r="G34" s="209">
        <f t="shared" si="0"/>
        <v>0</v>
      </c>
    </row>
    <row r="35" spans="2:7" s="335" customFormat="1" x14ac:dyDescent="0.25">
      <c r="B35" s="324">
        <v>3.15</v>
      </c>
      <c r="C35" s="325" t="str">
        <f>+'[33]Mat&amp;ACC Impulsión'!A5</f>
        <v xml:space="preserve">Dresser de 18" de diámetro </v>
      </c>
      <c r="D35" s="326" t="s">
        <v>425</v>
      </c>
      <c r="E35" s="323">
        <v>2</v>
      </c>
      <c r="F35" s="209">
        <v>0</v>
      </c>
      <c r="G35" s="209">
        <f t="shared" si="0"/>
        <v>0</v>
      </c>
    </row>
    <row r="36" spans="2:7" s="180" customFormat="1" x14ac:dyDescent="0.25">
      <c r="B36" s="323">
        <v>3.23</v>
      </c>
      <c r="C36" s="230" t="str">
        <f>+'[33]Mat&amp;ACC Impulsión'!A13</f>
        <v>Válvula de compuerta sello en bronce de 4" de diámetro BxB</v>
      </c>
      <c r="D36" s="141" t="s">
        <v>425</v>
      </c>
      <c r="E36" s="323">
        <v>3</v>
      </c>
      <c r="F36" s="207">
        <v>0</v>
      </c>
      <c r="G36" s="207">
        <f t="shared" si="0"/>
        <v>0</v>
      </c>
    </row>
    <row r="37" spans="2:7" s="180" customFormat="1" ht="14.45" customHeight="1" x14ac:dyDescent="0.25">
      <c r="B37" s="340"/>
      <c r="C37" s="341"/>
      <c r="D37" s="340"/>
      <c r="E37" s="342"/>
      <c r="F37" s="343"/>
      <c r="G37" s="343"/>
    </row>
    <row r="38" spans="2:7" x14ac:dyDescent="0.25">
      <c r="B38" s="40"/>
      <c r="C38" s="11" t="s">
        <v>17</v>
      </c>
      <c r="D38" s="40"/>
      <c r="E38" s="40"/>
      <c r="F38" s="40"/>
      <c r="G38" s="204">
        <f>+G21+G17+G11</f>
        <v>0</v>
      </c>
    </row>
    <row r="39" spans="2:7" x14ac:dyDescent="0.25">
      <c r="B39" s="40"/>
      <c r="C39" s="11" t="s">
        <v>458</v>
      </c>
      <c r="D39" s="321">
        <v>0</v>
      </c>
      <c r="E39" s="40"/>
      <c r="F39" s="40"/>
      <c r="G39" s="204">
        <f>+G38*D39</f>
        <v>0</v>
      </c>
    </row>
    <row r="40" spans="2:7" x14ac:dyDescent="0.25">
      <c r="B40" s="40"/>
      <c r="C40" s="11" t="s">
        <v>459</v>
      </c>
      <c r="D40" s="321">
        <v>0</v>
      </c>
      <c r="E40" s="40"/>
      <c r="F40" s="40"/>
      <c r="G40" s="204">
        <f>+G38*D40</f>
        <v>0</v>
      </c>
    </row>
    <row r="41" spans="2:7" x14ac:dyDescent="0.25">
      <c r="B41" s="40"/>
      <c r="C41" s="11" t="s">
        <v>181</v>
      </c>
      <c r="D41" s="321">
        <v>0</v>
      </c>
      <c r="E41" s="40"/>
      <c r="F41" s="40"/>
      <c r="G41" s="204">
        <f>+G38*D41</f>
        <v>0</v>
      </c>
    </row>
    <row r="42" spans="2:7" x14ac:dyDescent="0.25">
      <c r="B42" s="40"/>
      <c r="C42" s="11" t="s">
        <v>183</v>
      </c>
      <c r="D42" s="321">
        <v>0.19</v>
      </c>
      <c r="E42" s="40"/>
      <c r="F42" s="40"/>
      <c r="G42" s="204">
        <f>+G40*D42</f>
        <v>0</v>
      </c>
    </row>
    <row r="43" spans="2:7" x14ac:dyDescent="0.25">
      <c r="B43" s="40"/>
      <c r="C43" s="11" t="s">
        <v>19</v>
      </c>
      <c r="D43" s="40"/>
      <c r="E43" s="40"/>
      <c r="F43" s="40"/>
      <c r="G43" s="205">
        <f>+G38+G39+G40+G41+G42</f>
        <v>0</v>
      </c>
    </row>
    <row r="44" spans="2:7" x14ac:dyDescent="0.25">
      <c r="B44" s="40"/>
      <c r="C44" s="11"/>
      <c r="D44" s="40"/>
      <c r="E44" s="40"/>
      <c r="F44" s="40"/>
      <c r="G44" s="205"/>
    </row>
    <row r="45" spans="2:7" hidden="1" x14ac:dyDescent="0.25">
      <c r="B45" s="40"/>
      <c r="C45" s="11" t="s">
        <v>426</v>
      </c>
      <c r="D45" s="40"/>
      <c r="E45" s="40"/>
      <c r="F45" s="293">
        <v>7.0000000000000007E-2</v>
      </c>
      <c r="G45" s="205">
        <f>+G43*F45</f>
        <v>0</v>
      </c>
    </row>
    <row r="46" spans="2:7" hidden="1" x14ac:dyDescent="0.25">
      <c r="B46" s="40"/>
      <c r="C46" s="11"/>
      <c r="D46" s="40"/>
      <c r="E46" s="40"/>
      <c r="F46" s="40"/>
      <c r="G46" s="205"/>
    </row>
    <row r="47" spans="2:7" hidden="1" x14ac:dyDescent="0.25">
      <c r="B47" s="40"/>
      <c r="C47" s="11" t="s">
        <v>4</v>
      </c>
      <c r="D47" s="40"/>
      <c r="E47" s="40"/>
      <c r="F47" s="40"/>
      <c r="G47" s="205">
        <f>+G45+G43</f>
        <v>0</v>
      </c>
    </row>
    <row r="48" spans="2:7" hidden="1" x14ac:dyDescent="0.25">
      <c r="B48" s="40"/>
      <c r="C48" s="11"/>
      <c r="D48" s="40"/>
      <c r="E48" s="40"/>
      <c r="F48" s="40"/>
      <c r="G48" s="205"/>
    </row>
    <row r="50" spans="5:8" x14ac:dyDescent="0.25">
      <c r="F50" s="314"/>
      <c r="G50" s="204"/>
    </row>
    <row r="51" spans="5:8" x14ac:dyDescent="0.25">
      <c r="E51" s="267"/>
    </row>
    <row r="52" spans="5:8" x14ac:dyDescent="0.25">
      <c r="F52" s="316"/>
    </row>
    <row r="54" spans="5:8" x14ac:dyDescent="0.25">
      <c r="E54" s="2"/>
      <c r="F54" s="312"/>
      <c r="G54" s="312"/>
      <c r="H54" s="2"/>
    </row>
    <row r="55" spans="5:8" x14ac:dyDescent="0.25">
      <c r="E55" s="2"/>
      <c r="F55" s="205"/>
      <c r="G55" s="289"/>
      <c r="H55" s="312"/>
    </row>
    <row r="56" spans="5:8" x14ac:dyDescent="0.25">
      <c r="E56" s="2"/>
      <c r="F56" s="205"/>
      <c r="G56" s="289"/>
      <c r="H56" s="312"/>
    </row>
    <row r="57" spans="5:8" x14ac:dyDescent="0.25">
      <c r="E57" s="2"/>
      <c r="F57" s="205"/>
      <c r="G57" s="289"/>
      <c r="H57" s="312"/>
    </row>
    <row r="58" spans="5:8" x14ac:dyDescent="0.25">
      <c r="E58" s="2"/>
    </row>
    <row r="59" spans="5:8" x14ac:dyDescent="0.25">
      <c r="E59" s="2"/>
    </row>
    <row r="60" spans="5:8" x14ac:dyDescent="0.25">
      <c r="E60" s="2"/>
    </row>
    <row r="61" spans="5:8" x14ac:dyDescent="0.25">
      <c r="E61" s="2"/>
    </row>
    <row r="63" spans="5:8" x14ac:dyDescent="0.25">
      <c r="F63" s="205"/>
      <c r="G63" s="289"/>
    </row>
  </sheetData>
  <mergeCells count="6">
    <mergeCell ref="B8:G8"/>
    <mergeCell ref="B3:G3"/>
    <mergeCell ref="B4:G4"/>
    <mergeCell ref="B5:G5"/>
    <mergeCell ref="B6:G6"/>
    <mergeCell ref="F7:G7"/>
  </mergeCells>
  <pageMargins left="0.70866141732283472" right="0.70866141732283472" top="0.74803149606299213" bottom="0.74803149606299213" header="0.31496062992125984" footer="0.31496062992125984"/>
  <pageSetup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06"/>
  <sheetViews>
    <sheetView topLeftCell="AE1" zoomScale="80" zoomScaleNormal="80" zoomScaleSheetLayoutView="80" workbookViewId="0">
      <selection activeCell="A7" sqref="A7:XFD10"/>
    </sheetView>
  </sheetViews>
  <sheetFormatPr baseColWidth="10" defaultColWidth="11.5703125" defaultRowHeight="15" x14ac:dyDescent="0.25"/>
  <cols>
    <col min="1" max="1" width="11.5703125" style="165"/>
    <col min="2" max="2" width="2.42578125" style="165" hidden="1" customWidth="1"/>
    <col min="3" max="3" width="3.7109375" style="173" bestFit="1" customWidth="1"/>
    <col min="4" max="4" width="8.5703125" style="165" customWidth="1"/>
    <col min="5" max="5" width="17.7109375" style="178" bestFit="1" customWidth="1"/>
    <col min="6" max="6" width="16.28515625" style="165" bestFit="1" customWidth="1"/>
    <col min="7" max="7" width="10.5703125" style="165" customWidth="1"/>
    <col min="8" max="8" width="17.7109375" style="165" bestFit="1" customWidth="1"/>
    <col min="9" max="9" width="18.28515625" style="165" bestFit="1" customWidth="1"/>
    <col min="10" max="10" width="7" style="165" bestFit="1" customWidth="1"/>
    <col min="11" max="11" width="17.7109375" style="165" bestFit="1" customWidth="1"/>
    <col min="12" max="12" width="28.5703125" style="165" bestFit="1" customWidth="1"/>
    <col min="13" max="13" width="10.28515625" style="165" bestFit="1" customWidth="1"/>
    <col min="14" max="14" width="11.28515625" style="165" bestFit="1" customWidth="1"/>
    <col min="15" max="15" width="10.28515625" style="165" bestFit="1" customWidth="1"/>
    <col min="16" max="18" width="8.140625" style="165" bestFit="1" customWidth="1"/>
    <col min="19" max="19" width="8.85546875" style="165" bestFit="1" customWidth="1"/>
    <col min="20" max="21" width="8.140625" style="165" bestFit="1" customWidth="1"/>
    <col min="22" max="22" width="9.28515625" style="165" bestFit="1" customWidth="1"/>
    <col min="23" max="23" width="11.28515625" style="165" bestFit="1" customWidth="1"/>
    <col min="24" max="24" width="10.28515625" style="165" bestFit="1" customWidth="1"/>
    <col min="25" max="25" width="13.28515625" style="165" bestFit="1" customWidth="1"/>
    <col min="26" max="26" width="13.28515625" style="165" customWidth="1"/>
    <col min="27" max="27" width="11" style="165" bestFit="1" customWidth="1"/>
    <col min="28" max="28" width="14.28515625" style="165" bestFit="1" customWidth="1"/>
    <col min="29" max="29" width="14.28515625" style="165" customWidth="1"/>
    <col min="30" max="30" width="8.140625" style="165" customWidth="1"/>
    <col min="31" max="31" width="7.28515625" style="165" customWidth="1"/>
    <col min="32" max="32" width="8" style="165" customWidth="1"/>
    <col min="33" max="35" width="5.7109375" style="165" bestFit="1" customWidth="1"/>
    <col min="36" max="36" width="11.7109375" style="165" customWidth="1"/>
    <col min="37" max="37" width="10.7109375" style="165" customWidth="1"/>
    <col min="38" max="38" width="10" style="165" customWidth="1"/>
    <col min="39" max="40" width="9.28515625" style="165" customWidth="1"/>
    <col min="41" max="41" width="10.140625" style="165" bestFit="1" customWidth="1"/>
    <col min="42" max="42" width="10" style="165" bestFit="1" customWidth="1"/>
    <col min="43" max="43" width="12" style="165" bestFit="1" customWidth="1"/>
    <col min="44" max="44" width="12.7109375" style="165" bestFit="1" customWidth="1"/>
    <col min="45" max="45" width="11.28515625" style="165" bestFit="1" customWidth="1"/>
    <col min="46" max="47" width="11.5703125" style="165"/>
    <col min="48" max="51" width="19.7109375" style="165" customWidth="1"/>
    <col min="52" max="54" width="11.5703125" style="165"/>
    <col min="55" max="58" width="19.7109375" style="165" customWidth="1"/>
    <col min="59" max="61" width="11.5703125" style="165"/>
    <col min="62" max="62" width="16.7109375" style="165" bestFit="1" customWidth="1"/>
    <col min="63" max="16384" width="11.5703125" style="165"/>
  </cols>
  <sheetData>
    <row r="2" spans="2:66" x14ac:dyDescent="0.25">
      <c r="D2" s="165" t="s">
        <v>152</v>
      </c>
    </row>
    <row r="3" spans="2:66" s="2" customFormat="1" ht="45" x14ac:dyDescent="0.25">
      <c r="B3" s="124"/>
      <c r="C3" s="125" t="s">
        <v>115</v>
      </c>
      <c r="D3" s="125" t="s">
        <v>116</v>
      </c>
      <c r="E3" s="425" t="s">
        <v>117</v>
      </c>
      <c r="F3" s="426"/>
      <c r="G3" s="125" t="s">
        <v>118</v>
      </c>
      <c r="H3" s="125" t="s">
        <v>119</v>
      </c>
      <c r="I3" s="125" t="s">
        <v>120</v>
      </c>
      <c r="J3" s="125" t="s">
        <v>121</v>
      </c>
      <c r="K3" s="125" t="s">
        <v>122</v>
      </c>
      <c r="L3" s="317" t="s">
        <v>402</v>
      </c>
      <c r="M3" s="317" t="s">
        <v>403</v>
      </c>
      <c r="N3" s="317" t="s">
        <v>404</v>
      </c>
      <c r="O3" s="317" t="s">
        <v>405</v>
      </c>
      <c r="P3" s="317" t="s">
        <v>406</v>
      </c>
      <c r="Q3" s="317" t="s">
        <v>407</v>
      </c>
      <c r="R3" s="288" t="s">
        <v>408</v>
      </c>
      <c r="S3" s="288" t="s">
        <v>409</v>
      </c>
      <c r="T3" s="425" t="s">
        <v>123</v>
      </c>
      <c r="U3" s="426"/>
      <c r="V3" s="126" t="s">
        <v>124</v>
      </c>
      <c r="W3" s="425" t="s">
        <v>125</v>
      </c>
      <c r="X3" s="426"/>
      <c r="Y3" s="425" t="s">
        <v>369</v>
      </c>
      <c r="Z3" s="427"/>
      <c r="AA3" s="427"/>
      <c r="AB3" s="426"/>
      <c r="AC3" s="318"/>
      <c r="AD3" s="425" t="s">
        <v>126</v>
      </c>
      <c r="AE3" s="426"/>
      <c r="AF3" s="126" t="s">
        <v>127</v>
      </c>
      <c r="AG3" s="126" t="s">
        <v>128</v>
      </c>
      <c r="AH3" s="126" t="s">
        <v>129</v>
      </c>
      <c r="AI3" s="126" t="s">
        <v>130</v>
      </c>
      <c r="AJ3" s="127" t="s">
        <v>131</v>
      </c>
      <c r="AK3" s="317" t="s">
        <v>132</v>
      </c>
      <c r="AL3" s="317" t="s">
        <v>133</v>
      </c>
      <c r="AM3" s="317" t="s">
        <v>134</v>
      </c>
      <c r="AN3" s="317" t="s">
        <v>135</v>
      </c>
      <c r="AO3" s="317" t="s">
        <v>146</v>
      </c>
      <c r="AP3" s="126" t="s">
        <v>136</v>
      </c>
      <c r="AQ3" s="126" t="s">
        <v>137</v>
      </c>
      <c r="AR3" s="126" t="s">
        <v>138</v>
      </c>
      <c r="AS3" s="126" t="s">
        <v>139</v>
      </c>
      <c r="BJ3" s="428" t="s">
        <v>386</v>
      </c>
      <c r="BK3" s="428"/>
      <c r="BM3" s="428" t="s">
        <v>387</v>
      </c>
      <c r="BN3" s="428"/>
    </row>
    <row r="4" spans="2:66" s="2" customFormat="1" ht="15" customHeight="1" x14ac:dyDescent="0.25">
      <c r="B4" s="128"/>
      <c r="C4" s="129"/>
      <c r="D4" s="129"/>
      <c r="E4" s="151" t="s">
        <v>140</v>
      </c>
      <c r="F4" s="125" t="s">
        <v>141</v>
      </c>
      <c r="G4" s="125" t="s">
        <v>142</v>
      </c>
      <c r="H4" s="125" t="s">
        <v>143</v>
      </c>
      <c r="I4" s="125" t="s">
        <v>33</v>
      </c>
      <c r="J4" s="125" t="s">
        <v>144</v>
      </c>
      <c r="K4" s="129"/>
      <c r="L4" s="125" t="s">
        <v>140</v>
      </c>
      <c r="M4" s="125" t="s">
        <v>141</v>
      </c>
      <c r="N4" s="125" t="s">
        <v>140</v>
      </c>
      <c r="O4" s="125" t="s">
        <v>141</v>
      </c>
      <c r="P4" s="125" t="s">
        <v>140</v>
      </c>
      <c r="Q4" s="125" t="s">
        <v>141</v>
      </c>
      <c r="R4" s="125" t="s">
        <v>140</v>
      </c>
      <c r="S4" s="125" t="s">
        <v>141</v>
      </c>
      <c r="T4" s="125" t="s">
        <v>140</v>
      </c>
      <c r="U4" s="125" t="s">
        <v>141</v>
      </c>
      <c r="V4" s="130"/>
      <c r="W4" s="125" t="s">
        <v>140</v>
      </c>
      <c r="X4" s="125" t="s">
        <v>141</v>
      </c>
      <c r="Y4" s="125" t="s">
        <v>370</v>
      </c>
      <c r="Z4" s="125" t="str">
        <f>+'[34]calc cant'!$Z$4</f>
        <v>MDC-25</v>
      </c>
      <c r="AA4" s="125" t="s">
        <v>371</v>
      </c>
      <c r="AB4" s="125" t="s">
        <v>372</v>
      </c>
      <c r="AC4" s="125" t="str">
        <f>+'[34]calc cant'!$AC$4</f>
        <v>MEJORAMIENTO</v>
      </c>
      <c r="AD4" s="125" t="s">
        <v>140</v>
      </c>
      <c r="AE4" s="125" t="s">
        <v>141</v>
      </c>
      <c r="AF4" s="125" t="s">
        <v>145</v>
      </c>
      <c r="AG4" s="125" t="s">
        <v>145</v>
      </c>
      <c r="AH4" s="125" t="s">
        <v>246</v>
      </c>
      <c r="AI4" s="125" t="s">
        <v>145</v>
      </c>
      <c r="AJ4" s="125" t="s">
        <v>247</v>
      </c>
      <c r="AK4" s="125" t="s">
        <v>246</v>
      </c>
      <c r="AL4" s="125" t="s">
        <v>247</v>
      </c>
      <c r="AM4" s="125" t="s">
        <v>247</v>
      </c>
      <c r="AN4" s="125" t="s">
        <v>246</v>
      </c>
      <c r="AO4" s="125" t="s">
        <v>247</v>
      </c>
      <c r="AP4" s="125" t="s">
        <v>145</v>
      </c>
      <c r="AQ4" s="125" t="s">
        <v>247</v>
      </c>
      <c r="AR4" s="126"/>
      <c r="AS4" s="125" t="s">
        <v>246</v>
      </c>
      <c r="AV4" s="320" t="s">
        <v>295</v>
      </c>
      <c r="AW4" s="320" t="s">
        <v>296</v>
      </c>
      <c r="AX4" s="320" t="s">
        <v>297</v>
      </c>
      <c r="AY4" s="320" t="s">
        <v>298</v>
      </c>
      <c r="BC4" s="320" t="s">
        <v>295</v>
      </c>
      <c r="BD4" s="320" t="s">
        <v>296</v>
      </c>
      <c r="BE4" s="320" t="s">
        <v>297</v>
      </c>
      <c r="BF4" s="320" t="s">
        <v>298</v>
      </c>
      <c r="BJ4" s="314" t="s">
        <v>388</v>
      </c>
      <c r="BK4" s="314" t="s">
        <v>389</v>
      </c>
      <c r="BM4" s="314" t="s">
        <v>390</v>
      </c>
      <c r="BN4" s="314" t="s">
        <v>391</v>
      </c>
    </row>
    <row r="5" spans="2:66" s="2" customFormat="1" x14ac:dyDescent="0.25">
      <c r="B5" s="128"/>
      <c r="C5" s="129"/>
      <c r="D5" s="131" t="s">
        <v>245</v>
      </c>
      <c r="E5" s="151"/>
      <c r="F5" s="125"/>
      <c r="G5" s="125"/>
      <c r="H5" s="125"/>
      <c r="I5" s="125"/>
      <c r="J5" s="125"/>
      <c r="K5" s="129"/>
      <c r="L5" s="125"/>
      <c r="M5" s="125"/>
      <c r="N5" s="125"/>
      <c r="O5" s="125"/>
      <c r="P5" s="125"/>
      <c r="Q5" s="125"/>
      <c r="R5" s="125"/>
      <c r="S5" s="125"/>
      <c r="T5" s="125"/>
      <c r="U5" s="125"/>
      <c r="V5" s="130"/>
      <c r="W5" s="125"/>
      <c r="X5" s="125"/>
      <c r="Y5" s="125"/>
      <c r="Z5" s="125"/>
      <c r="AA5" s="125"/>
      <c r="AB5" s="125"/>
      <c r="AC5" s="125"/>
      <c r="AD5" s="125"/>
      <c r="AE5" s="125"/>
      <c r="AF5" s="125"/>
      <c r="AG5" s="125"/>
      <c r="AH5" s="125"/>
      <c r="AI5" s="125"/>
      <c r="AJ5" s="125"/>
      <c r="AK5" s="125"/>
      <c r="AL5" s="125"/>
      <c r="AM5" s="125"/>
      <c r="AN5" s="125"/>
      <c r="AO5" s="125"/>
      <c r="AP5" s="125"/>
      <c r="AQ5" s="125"/>
      <c r="AR5" s="126"/>
      <c r="AS5" s="125"/>
    </row>
    <row r="6" spans="2:66" ht="22.9" customHeight="1" x14ac:dyDescent="0.25">
      <c r="B6" s="21">
        <v>1</v>
      </c>
      <c r="C6" s="171">
        <v>1</v>
      </c>
      <c r="D6" s="171">
        <v>1</v>
      </c>
      <c r="E6" s="152">
        <v>1</v>
      </c>
      <c r="F6" s="171">
        <f>+E6+1</f>
        <v>2</v>
      </c>
      <c r="G6" s="171">
        <v>18</v>
      </c>
      <c r="H6" s="22">
        <f>+G6*0.025</f>
        <v>0.45</v>
      </c>
      <c r="I6" s="172">
        <v>160</v>
      </c>
      <c r="J6" s="172">
        <f>+(P6-Q6)/I6</f>
        <v>0</v>
      </c>
      <c r="K6" s="171"/>
      <c r="L6" s="172">
        <v>-2</v>
      </c>
      <c r="M6" s="172">
        <v>-2</v>
      </c>
      <c r="N6" s="172">
        <v>-0.71</v>
      </c>
      <c r="O6" s="172">
        <v>-0.71</v>
      </c>
      <c r="P6" s="23">
        <v>0</v>
      </c>
      <c r="Q6" s="23">
        <v>0</v>
      </c>
      <c r="R6" s="172">
        <f t="shared" ref="R6:S6" si="0">+P6-L6</f>
        <v>2</v>
      </c>
      <c r="S6" s="172">
        <f t="shared" si="0"/>
        <v>2</v>
      </c>
      <c r="T6" s="172">
        <f t="shared" ref="T6:U6" si="1">+P6-N6</f>
        <v>0.71</v>
      </c>
      <c r="U6" s="172">
        <f t="shared" si="1"/>
        <v>0.71</v>
      </c>
      <c r="V6" s="20" t="s">
        <v>418</v>
      </c>
      <c r="W6" s="26">
        <f>L6-AI6</f>
        <v>-2.15</v>
      </c>
      <c r="X6" s="26">
        <f t="shared" ref="X6" si="2">M6-AI6</f>
        <v>-2.15</v>
      </c>
      <c r="Y6" s="25">
        <v>0</v>
      </c>
      <c r="Z6" s="25">
        <v>0</v>
      </c>
      <c r="AA6" s="25">
        <v>0</v>
      </c>
      <c r="AB6" s="25">
        <v>0</v>
      </c>
      <c r="AC6" s="25">
        <v>0</v>
      </c>
      <c r="AD6" s="24">
        <f>+P6-W6-(Y6+AA6+AB6+Z6+AC6)</f>
        <v>2.15</v>
      </c>
      <c r="AE6" s="24">
        <f>+Q6-X6-(Y6+AA6+AB6+Z6+AC6)</f>
        <v>2.15</v>
      </c>
      <c r="AF6" s="274">
        <f>VLOOKUP(G6,$AN$389:$AO$406,2,FALSE)</f>
        <v>0.22500000000000012</v>
      </c>
      <c r="AG6" s="24">
        <f>+H6+AF6*2</f>
        <v>0.90000000000000024</v>
      </c>
      <c r="AH6" s="25">
        <f>+AG6*AVERAGE(AD6:AE6)</f>
        <v>1.9350000000000005</v>
      </c>
      <c r="AI6" s="26">
        <v>0.15</v>
      </c>
      <c r="AJ6" s="25">
        <f>(AVERAGE(AD6:AE6)*AG6*I6)</f>
        <v>309.60000000000008</v>
      </c>
      <c r="AK6" s="31">
        <f t="shared" ref="AK6" si="3">(AG6*(AI6+H6/2)-(PI()/4*H6^2)/2)</f>
        <v>0.25797843595600845</v>
      </c>
      <c r="AL6" s="24">
        <f t="shared" ref="AL6" si="4">AK6*I6</f>
        <v>41.276549752961351</v>
      </c>
      <c r="AM6" s="24">
        <f t="shared" ref="AM6" si="5">H6^2*PI()/4*I6</f>
        <v>25.446900494077326</v>
      </c>
      <c r="AN6" s="24">
        <f>+AG6*(AI6+H6)-AM6/I6</f>
        <v>0.38095687191201688</v>
      </c>
      <c r="AO6" s="24">
        <f>(AN6*I6)</f>
        <v>60.953099505922701</v>
      </c>
      <c r="AP6" s="27"/>
      <c r="AQ6" s="28"/>
      <c r="AR6" s="29" t="str">
        <f>IF(AD6&gt;1.5,"SI",IF(AE6&gt;1.5,"SI","NO"))</f>
        <v>SI</v>
      </c>
      <c r="AS6" s="30">
        <f>IF(AR6="SI",(AD6+AE6)/2*I6*2,0)</f>
        <v>688</v>
      </c>
      <c r="AV6" s="316">
        <f>+IF(R6="",0,IF(R6&lt;=1.45,1,0))</f>
        <v>0</v>
      </c>
      <c r="AW6" s="316">
        <f>+IF(AND(R6&gt;1.45,R6&lt;=1.8),1,0)</f>
        <v>0</v>
      </c>
      <c r="AX6" s="316">
        <f>+IF(AND(R6&gt;1.8,R6&lt;=3),1,0)</f>
        <v>1</v>
      </c>
      <c r="AY6" s="316">
        <f>+IF(AND(R6&gt;3),1,0)</f>
        <v>0</v>
      </c>
      <c r="AZ6" s="315">
        <f>+(AW6+AX6+AY6)*R6</f>
        <v>2</v>
      </c>
      <c r="BC6" s="261">
        <f>+AV6*AJ6</f>
        <v>0</v>
      </c>
      <c r="BD6" s="261">
        <f>+AW6*AJ6</f>
        <v>0</v>
      </c>
      <c r="BE6" s="261">
        <f>+AX6*AJ6</f>
        <v>309.60000000000008</v>
      </c>
      <c r="BF6" s="261">
        <f>+AY6*AJ6</f>
        <v>0</v>
      </c>
      <c r="BJ6" s="285">
        <f>+IF(((R6+S6)/2)&lt;3.5,AJ6,0)</f>
        <v>309.60000000000008</v>
      </c>
      <c r="BK6" s="285">
        <f>+IF(((R6+S6)/2)&gt;3.5,AJ6,0)</f>
        <v>0</v>
      </c>
      <c r="BM6" s="261">
        <f>+IF(((R6+S6)/2)&lt;4.5,AS6,0)</f>
        <v>688</v>
      </c>
      <c r="BN6" s="261">
        <f>+IF(((R6+S6)/2)&gt;4.5,AS6,0)</f>
        <v>0</v>
      </c>
    </row>
    <row r="7" spans="2:66" ht="22.9" customHeight="1" x14ac:dyDescent="0.25">
      <c r="B7" s="21"/>
      <c r="C7" s="171"/>
      <c r="D7" s="171"/>
      <c r="E7" s="152"/>
      <c r="F7" s="171"/>
      <c r="G7" s="171"/>
      <c r="H7" s="22"/>
      <c r="I7" s="172"/>
      <c r="J7" s="172"/>
      <c r="K7" s="171"/>
      <c r="L7" s="172"/>
      <c r="M7" s="172"/>
      <c r="N7" s="172"/>
      <c r="O7" s="172"/>
      <c r="P7" s="23"/>
      <c r="Q7" s="23"/>
      <c r="R7" s="172"/>
      <c r="S7" s="172"/>
      <c r="T7" s="172"/>
      <c r="U7" s="172"/>
      <c r="V7" s="20"/>
      <c r="W7" s="26"/>
      <c r="X7" s="26"/>
      <c r="Y7" s="25"/>
      <c r="Z7" s="25"/>
      <c r="AA7" s="25"/>
      <c r="AB7" s="25"/>
      <c r="AC7" s="25"/>
      <c r="AD7" s="24"/>
      <c r="AE7" s="24"/>
      <c r="AF7" s="274"/>
      <c r="AG7" s="24"/>
      <c r="AH7" s="25"/>
      <c r="AI7" s="26"/>
      <c r="AJ7" s="25"/>
      <c r="AK7" s="31"/>
      <c r="AL7" s="24"/>
      <c r="AM7" s="24"/>
      <c r="AN7" s="24"/>
      <c r="AO7" s="24"/>
      <c r="AP7" s="27"/>
      <c r="AQ7" s="28"/>
      <c r="AR7" s="29"/>
      <c r="AS7" s="30"/>
      <c r="AV7" s="316"/>
      <c r="AW7" s="316"/>
      <c r="AX7" s="316"/>
      <c r="AY7" s="316"/>
      <c r="AZ7" s="315"/>
      <c r="BC7" s="261"/>
      <c r="BD7" s="261"/>
      <c r="BE7" s="261"/>
      <c r="BF7" s="261"/>
      <c r="BJ7" s="285"/>
      <c r="BK7" s="285"/>
      <c r="BM7" s="261"/>
      <c r="BN7" s="261"/>
    </row>
    <row r="8" spans="2:66" ht="22.9" customHeight="1" x14ac:dyDescent="0.25">
      <c r="B8" s="21"/>
      <c r="C8" s="171"/>
      <c r="D8" s="171"/>
      <c r="E8" s="152"/>
      <c r="F8" s="171"/>
      <c r="G8" s="171"/>
      <c r="H8" s="22"/>
      <c r="I8" s="172"/>
      <c r="J8" s="172"/>
      <c r="K8" s="171"/>
      <c r="L8" s="172"/>
      <c r="M8" s="172"/>
      <c r="N8" s="172"/>
      <c r="O8" s="172"/>
      <c r="P8" s="23"/>
      <c r="Q8" s="23"/>
      <c r="R8" s="172"/>
      <c r="S8" s="172"/>
      <c r="T8" s="172"/>
      <c r="U8" s="172"/>
      <c r="V8" s="20"/>
      <c r="W8" s="26"/>
      <c r="X8" s="26"/>
      <c r="Y8" s="25"/>
      <c r="Z8" s="25"/>
      <c r="AA8" s="25"/>
      <c r="AB8" s="25"/>
      <c r="AC8" s="25"/>
      <c r="AD8" s="24"/>
      <c r="AE8" s="24"/>
      <c r="AF8" s="274"/>
      <c r="AG8" s="24"/>
      <c r="AH8" s="25"/>
      <c r="AI8" s="26"/>
      <c r="AJ8" s="25"/>
      <c r="AK8" s="31"/>
      <c r="AL8" s="24"/>
      <c r="AM8" s="24"/>
      <c r="AN8" s="24"/>
      <c r="AO8" s="24"/>
      <c r="AP8" s="27"/>
      <c r="AQ8" s="28"/>
      <c r="AR8" s="29"/>
      <c r="AS8" s="30"/>
      <c r="AV8" s="316"/>
      <c r="AW8" s="316"/>
      <c r="AX8" s="316"/>
      <c r="AY8" s="316"/>
      <c r="AZ8" s="315"/>
      <c r="BC8" s="261"/>
      <c r="BD8" s="261"/>
      <c r="BE8" s="261"/>
      <c r="BF8" s="261"/>
      <c r="BJ8" s="285"/>
      <c r="BK8" s="285"/>
      <c r="BM8" s="261"/>
      <c r="BN8" s="261"/>
    </row>
    <row r="9" spans="2:66" ht="22.9" customHeight="1" x14ac:dyDescent="0.25">
      <c r="B9" s="21"/>
      <c r="C9" s="171"/>
      <c r="D9" s="171"/>
      <c r="E9" s="152"/>
      <c r="F9" s="171"/>
      <c r="G9" s="171"/>
      <c r="H9" s="22"/>
      <c r="I9" s="172"/>
      <c r="J9" s="172"/>
      <c r="K9" s="171"/>
      <c r="L9" s="172"/>
      <c r="M9" s="172"/>
      <c r="N9" s="172"/>
      <c r="O9" s="172"/>
      <c r="P9" s="23"/>
      <c r="Q9" s="23"/>
      <c r="R9" s="172"/>
      <c r="S9" s="172"/>
      <c r="T9" s="172"/>
      <c r="U9" s="172"/>
      <c r="V9" s="20"/>
      <c r="W9" s="26"/>
      <c r="X9" s="26"/>
      <c r="Y9" s="25"/>
      <c r="Z9" s="25"/>
      <c r="AA9" s="25"/>
      <c r="AB9" s="25"/>
      <c r="AC9" s="25"/>
      <c r="AD9" s="24"/>
      <c r="AE9" s="24"/>
      <c r="AF9" s="274"/>
      <c r="AG9" s="24"/>
      <c r="AH9" s="25"/>
      <c r="AI9" s="26"/>
      <c r="AJ9" s="25"/>
      <c r="AK9" s="31"/>
      <c r="AL9" s="24"/>
      <c r="AM9" s="24"/>
      <c r="AN9" s="24"/>
      <c r="AO9" s="24"/>
      <c r="AP9" s="27"/>
      <c r="AQ9" s="28"/>
      <c r="AR9" s="29"/>
      <c r="AS9" s="30"/>
      <c r="AV9" s="316"/>
      <c r="AW9" s="316"/>
      <c r="AX9" s="316"/>
      <c r="AY9" s="316"/>
      <c r="AZ9" s="315"/>
      <c r="BC9" s="261"/>
      <c r="BD9" s="261"/>
      <c r="BE9" s="261"/>
      <c r="BF9" s="261"/>
      <c r="BJ9" s="285"/>
      <c r="BK9" s="285"/>
      <c r="BM9" s="261"/>
      <c r="BN9" s="261"/>
    </row>
    <row r="10" spans="2:66" ht="22.9" customHeight="1" x14ac:dyDescent="0.25">
      <c r="B10" s="21"/>
      <c r="C10" s="171"/>
      <c r="D10" s="171"/>
      <c r="E10" s="152"/>
      <c r="F10" s="171"/>
      <c r="G10" s="171"/>
      <c r="H10" s="22"/>
      <c r="I10" s="172"/>
      <c r="J10" s="172"/>
      <c r="K10" s="171"/>
      <c r="L10" s="172"/>
      <c r="M10" s="172"/>
      <c r="N10" s="172"/>
      <c r="O10" s="172"/>
      <c r="P10" s="23"/>
      <c r="Q10" s="23"/>
      <c r="R10" s="172"/>
      <c r="S10" s="172"/>
      <c r="T10" s="172"/>
      <c r="U10" s="172"/>
      <c r="V10" s="20"/>
      <c r="W10" s="26"/>
      <c r="X10" s="26"/>
      <c r="Y10" s="25"/>
      <c r="Z10" s="25"/>
      <c r="AA10" s="25"/>
      <c r="AB10" s="25"/>
      <c r="AC10" s="25"/>
      <c r="AD10" s="24"/>
      <c r="AE10" s="24"/>
      <c r="AF10" s="274"/>
      <c r="AG10" s="24"/>
      <c r="AH10" s="25"/>
      <c r="AI10" s="26"/>
      <c r="AJ10" s="25"/>
      <c r="AK10" s="31"/>
      <c r="AL10" s="24"/>
      <c r="AM10" s="24"/>
      <c r="AN10" s="24"/>
      <c r="AO10" s="24"/>
      <c r="AP10" s="27"/>
      <c r="AQ10" s="28"/>
      <c r="AR10" s="29"/>
      <c r="AS10" s="30"/>
      <c r="AV10" s="316"/>
      <c r="AW10" s="316"/>
      <c r="AX10" s="316"/>
      <c r="AY10" s="316"/>
      <c r="AZ10" s="315"/>
      <c r="BC10" s="261"/>
      <c r="BD10" s="261"/>
      <c r="BE10" s="261"/>
      <c r="BF10" s="261"/>
      <c r="BJ10" s="285"/>
      <c r="BK10" s="285"/>
      <c r="BM10" s="261"/>
      <c r="BN10" s="261"/>
    </row>
    <row r="11" spans="2:66" ht="22.9" hidden="1" customHeight="1" x14ac:dyDescent="0.25">
      <c r="B11" s="21"/>
      <c r="C11" s="171"/>
      <c r="D11" s="171"/>
      <c r="E11" s="152"/>
      <c r="F11" s="171"/>
      <c r="G11" s="171"/>
      <c r="H11" s="22"/>
      <c r="I11" s="172"/>
      <c r="J11" s="172"/>
      <c r="K11" s="171"/>
      <c r="L11" s="172"/>
      <c r="M11" s="172"/>
      <c r="N11" s="172"/>
      <c r="O11" s="172"/>
      <c r="P11" s="23"/>
      <c r="Q11" s="23"/>
      <c r="R11" s="172"/>
      <c r="S11" s="172"/>
      <c r="T11" s="172"/>
      <c r="U11" s="172"/>
      <c r="V11" s="20"/>
      <c r="W11" s="26"/>
      <c r="X11" s="26"/>
      <c r="Y11" s="25"/>
      <c r="Z11" s="25"/>
      <c r="AA11" s="25"/>
      <c r="AB11" s="25"/>
      <c r="AC11" s="25"/>
      <c r="AD11" s="24"/>
      <c r="AE11" s="24"/>
      <c r="AF11" s="274"/>
      <c r="AG11" s="24"/>
      <c r="AH11" s="25"/>
      <c r="AI11" s="26"/>
      <c r="AJ11" s="25"/>
      <c r="AK11" s="31"/>
      <c r="AL11" s="24"/>
      <c r="AM11" s="24"/>
      <c r="AN11" s="24"/>
      <c r="AO11" s="24"/>
      <c r="AP11" s="27"/>
      <c r="AQ11" s="28"/>
      <c r="AR11" s="29"/>
      <c r="AS11" s="30"/>
      <c r="AV11" s="316"/>
      <c r="AW11" s="316"/>
      <c r="AX11" s="316"/>
      <c r="AY11" s="316"/>
      <c r="AZ11" s="315"/>
      <c r="BC11" s="261"/>
      <c r="BD11" s="261"/>
      <c r="BE11" s="261"/>
      <c r="BF11" s="261"/>
      <c r="BJ11" s="285"/>
      <c r="BK11" s="285"/>
      <c r="BM11" s="261"/>
      <c r="BN11" s="261"/>
    </row>
    <row r="12" spans="2:66" ht="22.9" hidden="1" customHeight="1" x14ac:dyDescent="0.25">
      <c r="B12" s="21"/>
      <c r="C12" s="171"/>
      <c r="D12" s="171"/>
      <c r="E12" s="152"/>
      <c r="F12" s="171"/>
      <c r="G12" s="171"/>
      <c r="H12" s="22"/>
      <c r="I12" s="172"/>
      <c r="J12" s="172"/>
      <c r="K12" s="171"/>
      <c r="L12" s="172"/>
      <c r="M12" s="172"/>
      <c r="N12" s="172"/>
      <c r="O12" s="172"/>
      <c r="P12" s="23"/>
      <c r="Q12" s="23"/>
      <c r="R12" s="172"/>
      <c r="S12" s="172"/>
      <c r="T12" s="172"/>
      <c r="U12" s="172"/>
      <c r="V12" s="20"/>
      <c r="W12" s="26"/>
      <c r="X12" s="26"/>
      <c r="Y12" s="25"/>
      <c r="Z12" s="25"/>
      <c r="AA12" s="25"/>
      <c r="AB12" s="25"/>
      <c r="AC12" s="25"/>
      <c r="AD12" s="24"/>
      <c r="AE12" s="24"/>
      <c r="AF12" s="274"/>
      <c r="AG12" s="24"/>
      <c r="AH12" s="25"/>
      <c r="AI12" s="26"/>
      <c r="AJ12" s="25"/>
      <c r="AK12" s="31"/>
      <c r="AL12" s="24"/>
      <c r="AM12" s="24"/>
      <c r="AN12" s="24"/>
      <c r="AO12" s="24"/>
      <c r="AP12" s="27"/>
      <c r="AQ12" s="28"/>
      <c r="AR12" s="29"/>
      <c r="AS12" s="30"/>
      <c r="AV12" s="316"/>
      <c r="AW12" s="316"/>
      <c r="AX12" s="316"/>
      <c r="AY12" s="316"/>
      <c r="AZ12" s="315"/>
      <c r="BC12" s="261"/>
      <c r="BD12" s="261"/>
      <c r="BE12" s="261"/>
      <c r="BF12" s="261"/>
      <c r="BJ12" s="285"/>
      <c r="BK12" s="285"/>
      <c r="BM12" s="261"/>
      <c r="BN12" s="261"/>
    </row>
    <row r="13" spans="2:66" ht="22.9" hidden="1" customHeight="1" x14ac:dyDescent="0.25">
      <c r="B13" s="21"/>
      <c r="C13" s="171"/>
      <c r="D13" s="171"/>
      <c r="E13" s="152"/>
      <c r="F13" s="171"/>
      <c r="G13" s="171"/>
      <c r="H13" s="22"/>
      <c r="I13" s="172"/>
      <c r="J13" s="172"/>
      <c r="K13" s="171"/>
      <c r="L13" s="172"/>
      <c r="M13" s="172"/>
      <c r="N13" s="172"/>
      <c r="O13" s="172"/>
      <c r="P13" s="23"/>
      <c r="Q13" s="23"/>
      <c r="R13" s="172"/>
      <c r="S13" s="172"/>
      <c r="T13" s="172"/>
      <c r="U13" s="172"/>
      <c r="V13" s="20"/>
      <c r="W13" s="26"/>
      <c r="X13" s="26"/>
      <c r="Y13" s="25"/>
      <c r="Z13" s="25"/>
      <c r="AA13" s="25"/>
      <c r="AB13" s="25"/>
      <c r="AC13" s="25"/>
      <c r="AD13" s="24"/>
      <c r="AE13" s="24"/>
      <c r="AF13" s="274"/>
      <c r="AG13" s="24"/>
      <c r="AH13" s="25"/>
      <c r="AI13" s="26"/>
      <c r="AJ13" s="25"/>
      <c r="AK13" s="31"/>
      <c r="AL13" s="24"/>
      <c r="AM13" s="24"/>
      <c r="AN13" s="24"/>
      <c r="AO13" s="24"/>
      <c r="AP13" s="27"/>
      <c r="AQ13" s="28"/>
      <c r="AR13" s="29"/>
      <c r="AS13" s="30"/>
      <c r="AV13" s="316"/>
      <c r="AW13" s="316"/>
      <c r="AX13" s="316"/>
      <c r="AY13" s="316"/>
      <c r="AZ13" s="315"/>
      <c r="BC13" s="261"/>
      <c r="BD13" s="261"/>
      <c r="BE13" s="261"/>
      <c r="BF13" s="261"/>
      <c r="BJ13" s="285"/>
      <c r="BK13" s="285"/>
      <c r="BM13" s="261"/>
      <c r="BN13" s="261"/>
    </row>
    <row r="14" spans="2:66" ht="22.9" hidden="1" customHeight="1" x14ac:dyDescent="0.25">
      <c r="B14" s="21"/>
      <c r="C14" s="171"/>
      <c r="D14" s="171"/>
      <c r="E14" s="152"/>
      <c r="F14" s="171"/>
      <c r="G14" s="171"/>
      <c r="H14" s="22"/>
      <c r="I14" s="172"/>
      <c r="J14" s="172"/>
      <c r="K14" s="171"/>
      <c r="L14" s="172"/>
      <c r="M14" s="172"/>
      <c r="N14" s="172"/>
      <c r="O14" s="172"/>
      <c r="P14" s="23"/>
      <c r="Q14" s="23"/>
      <c r="R14" s="172"/>
      <c r="S14" s="172"/>
      <c r="T14" s="172"/>
      <c r="U14" s="172"/>
      <c r="V14" s="20"/>
      <c r="W14" s="26"/>
      <c r="X14" s="26"/>
      <c r="Y14" s="25"/>
      <c r="Z14" s="25"/>
      <c r="AA14" s="25"/>
      <c r="AB14" s="25"/>
      <c r="AC14" s="25"/>
      <c r="AD14" s="24"/>
      <c r="AE14" s="24"/>
      <c r="AF14" s="274"/>
      <c r="AG14" s="24"/>
      <c r="AH14" s="25"/>
      <c r="AI14" s="26"/>
      <c r="AJ14" s="25"/>
      <c r="AK14" s="31"/>
      <c r="AL14" s="24"/>
      <c r="AM14" s="24"/>
      <c r="AN14" s="24"/>
      <c r="AO14" s="24"/>
      <c r="AP14" s="27"/>
      <c r="AQ14" s="28"/>
      <c r="AR14" s="29"/>
      <c r="AS14" s="30"/>
      <c r="AV14" s="316"/>
      <c r="AW14" s="316"/>
      <c r="AX14" s="316"/>
      <c r="AY14" s="316"/>
      <c r="AZ14" s="315"/>
      <c r="BC14" s="261"/>
      <c r="BD14" s="261"/>
      <c r="BE14" s="261"/>
      <c r="BF14" s="261"/>
      <c r="BJ14" s="285"/>
      <c r="BK14" s="285"/>
      <c r="BM14" s="261"/>
      <c r="BN14" s="261"/>
    </row>
    <row r="15" spans="2:66" ht="22.9" hidden="1" customHeight="1" x14ac:dyDescent="0.25">
      <c r="B15" s="21"/>
      <c r="C15" s="171"/>
      <c r="D15" s="171"/>
      <c r="E15" s="152"/>
      <c r="F15" s="171"/>
      <c r="G15" s="171"/>
      <c r="H15" s="22"/>
      <c r="I15" s="172"/>
      <c r="J15" s="172"/>
      <c r="K15" s="171"/>
      <c r="L15" s="172"/>
      <c r="M15" s="172"/>
      <c r="N15" s="172"/>
      <c r="O15" s="172"/>
      <c r="P15" s="23"/>
      <c r="Q15" s="23"/>
      <c r="R15" s="172"/>
      <c r="S15" s="172"/>
      <c r="T15" s="172"/>
      <c r="U15" s="172"/>
      <c r="V15" s="20"/>
      <c r="W15" s="26"/>
      <c r="X15" s="26"/>
      <c r="Y15" s="25"/>
      <c r="Z15" s="25"/>
      <c r="AA15" s="25"/>
      <c r="AB15" s="25"/>
      <c r="AC15" s="25"/>
      <c r="AD15" s="24"/>
      <c r="AE15" s="24"/>
      <c r="AF15" s="274"/>
      <c r="AG15" s="24"/>
      <c r="AH15" s="25"/>
      <c r="AI15" s="26"/>
      <c r="AJ15" s="25"/>
      <c r="AK15" s="31"/>
      <c r="AL15" s="24"/>
      <c r="AM15" s="24"/>
      <c r="AN15" s="24"/>
      <c r="AO15" s="24"/>
      <c r="AP15" s="27"/>
      <c r="AQ15" s="28"/>
      <c r="AR15" s="29"/>
      <c r="AS15" s="30"/>
      <c r="AV15" s="316"/>
      <c r="AW15" s="316"/>
      <c r="AX15" s="316"/>
      <c r="AY15" s="316"/>
      <c r="AZ15" s="315"/>
      <c r="BC15" s="261"/>
      <c r="BD15" s="261"/>
      <c r="BE15" s="261"/>
      <c r="BF15" s="261"/>
      <c r="BJ15" s="285"/>
      <c r="BK15" s="285"/>
      <c r="BM15" s="261"/>
      <c r="BN15" s="261"/>
    </row>
    <row r="16" spans="2:66" ht="22.9" hidden="1" customHeight="1" x14ac:dyDescent="0.25">
      <c r="B16" s="21"/>
      <c r="C16" s="171"/>
      <c r="D16" s="171"/>
      <c r="E16" s="152"/>
      <c r="F16" s="171"/>
      <c r="G16" s="171"/>
      <c r="H16" s="22"/>
      <c r="I16" s="172"/>
      <c r="J16" s="172"/>
      <c r="K16" s="171"/>
      <c r="L16" s="172"/>
      <c r="M16" s="172"/>
      <c r="N16" s="172"/>
      <c r="O16" s="172"/>
      <c r="P16" s="23"/>
      <c r="Q16" s="23"/>
      <c r="R16" s="172"/>
      <c r="S16" s="172"/>
      <c r="T16" s="172"/>
      <c r="U16" s="172"/>
      <c r="V16" s="20"/>
      <c r="W16" s="26"/>
      <c r="X16" s="26"/>
      <c r="Y16" s="25"/>
      <c r="Z16" s="25"/>
      <c r="AA16" s="25"/>
      <c r="AB16" s="25"/>
      <c r="AC16" s="25"/>
      <c r="AD16" s="24"/>
      <c r="AE16" s="24"/>
      <c r="AF16" s="274"/>
      <c r="AG16" s="24"/>
      <c r="AH16" s="25"/>
      <c r="AI16" s="26"/>
      <c r="AJ16" s="25"/>
      <c r="AK16" s="31"/>
      <c r="AL16" s="24"/>
      <c r="AM16" s="24"/>
      <c r="AN16" s="24"/>
      <c r="AO16" s="24"/>
      <c r="AP16" s="27"/>
      <c r="AQ16" s="28"/>
      <c r="AR16" s="29"/>
      <c r="AS16" s="30"/>
      <c r="AV16" s="316"/>
      <c r="AW16" s="316"/>
      <c r="AX16" s="316"/>
      <c r="AY16" s="316"/>
      <c r="AZ16" s="315"/>
      <c r="BC16" s="261"/>
      <c r="BD16" s="261"/>
      <c r="BE16" s="261"/>
      <c r="BF16" s="261"/>
      <c r="BJ16" s="285"/>
      <c r="BK16" s="285"/>
      <c r="BM16" s="261"/>
      <c r="BN16" s="261"/>
    </row>
    <row r="17" spans="2:66" ht="22.9" hidden="1" customHeight="1" x14ac:dyDescent="0.25">
      <c r="B17" s="21"/>
      <c r="C17" s="171"/>
      <c r="D17" s="171"/>
      <c r="E17" s="152"/>
      <c r="F17" s="171"/>
      <c r="G17" s="171"/>
      <c r="H17" s="22"/>
      <c r="I17" s="172"/>
      <c r="J17" s="172"/>
      <c r="K17" s="171"/>
      <c r="L17" s="172"/>
      <c r="M17" s="172"/>
      <c r="N17" s="172"/>
      <c r="O17" s="172"/>
      <c r="P17" s="23"/>
      <c r="Q17" s="23"/>
      <c r="R17" s="172"/>
      <c r="S17" s="172"/>
      <c r="T17" s="172"/>
      <c r="U17" s="172"/>
      <c r="V17" s="20"/>
      <c r="W17" s="26"/>
      <c r="X17" s="26"/>
      <c r="Y17" s="25"/>
      <c r="Z17" s="25"/>
      <c r="AA17" s="25"/>
      <c r="AB17" s="25"/>
      <c r="AC17" s="25"/>
      <c r="AD17" s="24"/>
      <c r="AE17" s="24"/>
      <c r="AF17" s="274"/>
      <c r="AG17" s="24"/>
      <c r="AH17" s="25"/>
      <c r="AI17" s="26"/>
      <c r="AJ17" s="25"/>
      <c r="AK17" s="31"/>
      <c r="AL17" s="24"/>
      <c r="AM17" s="24"/>
      <c r="AN17" s="24"/>
      <c r="AO17" s="24"/>
      <c r="AP17" s="27"/>
      <c r="AQ17" s="28"/>
      <c r="AR17" s="29"/>
      <c r="AS17" s="30"/>
      <c r="AV17" s="316"/>
      <c r="AW17" s="316"/>
      <c r="AX17" s="316"/>
      <c r="AY17" s="316"/>
      <c r="AZ17" s="315"/>
      <c r="BC17" s="261"/>
      <c r="BD17" s="261"/>
      <c r="BE17" s="261"/>
      <c r="BF17" s="261"/>
      <c r="BJ17" s="285"/>
      <c r="BK17" s="285"/>
      <c r="BM17" s="261"/>
      <c r="BN17" s="261"/>
    </row>
    <row r="18" spans="2:66" ht="22.9" hidden="1" customHeight="1" x14ac:dyDescent="0.25">
      <c r="B18" s="21"/>
      <c r="C18" s="171"/>
      <c r="D18" s="171"/>
      <c r="E18" s="152"/>
      <c r="F18" s="171"/>
      <c r="G18" s="171"/>
      <c r="H18" s="22"/>
      <c r="I18" s="172"/>
      <c r="J18" s="172"/>
      <c r="K18" s="171"/>
      <c r="L18" s="172"/>
      <c r="M18" s="172"/>
      <c r="N18" s="172"/>
      <c r="O18" s="172"/>
      <c r="P18" s="23"/>
      <c r="Q18" s="23"/>
      <c r="R18" s="172"/>
      <c r="S18" s="172"/>
      <c r="T18" s="172"/>
      <c r="U18" s="172"/>
      <c r="V18" s="20"/>
      <c r="W18" s="24"/>
      <c r="X18" s="24"/>
      <c r="Y18" s="25"/>
      <c r="Z18" s="25"/>
      <c r="AA18" s="25"/>
      <c r="AB18" s="25"/>
      <c r="AC18" s="25"/>
      <c r="AD18" s="24"/>
      <c r="AE18" s="24"/>
      <c r="AF18" s="274"/>
      <c r="AG18" s="24"/>
      <c r="AH18" s="25"/>
      <c r="AI18" s="26"/>
      <c r="AJ18" s="25"/>
      <c r="AK18" s="31"/>
      <c r="AL18" s="24"/>
      <c r="AM18" s="24"/>
      <c r="AN18" s="24"/>
      <c r="AO18" s="24"/>
      <c r="AP18" s="27"/>
      <c r="AQ18" s="28"/>
      <c r="AR18" s="29"/>
      <c r="AS18" s="30"/>
      <c r="AV18" s="316"/>
      <c r="AW18" s="316"/>
      <c r="AX18" s="316"/>
      <c r="AY18" s="316"/>
      <c r="AZ18" s="315"/>
      <c r="BC18" s="261"/>
      <c r="BD18" s="261"/>
      <c r="BE18" s="261"/>
      <c r="BF18" s="261"/>
      <c r="BJ18" s="285"/>
      <c r="BK18" s="285"/>
      <c r="BM18" s="261"/>
      <c r="BN18" s="261"/>
    </row>
    <row r="19" spans="2:66" ht="22.9" hidden="1" customHeight="1" x14ac:dyDescent="0.25">
      <c r="B19" s="21"/>
      <c r="C19" s="171"/>
      <c r="D19" s="171"/>
      <c r="E19" s="152"/>
      <c r="F19" s="171"/>
      <c r="G19" s="171"/>
      <c r="H19" s="22"/>
      <c r="I19" s="172"/>
      <c r="J19" s="172"/>
      <c r="K19" s="171"/>
      <c r="L19" s="172"/>
      <c r="M19" s="172"/>
      <c r="N19" s="172"/>
      <c r="O19" s="172"/>
      <c r="P19" s="23"/>
      <c r="Q19" s="23"/>
      <c r="R19" s="172"/>
      <c r="S19" s="172"/>
      <c r="T19" s="172"/>
      <c r="U19" s="172"/>
      <c r="V19" s="20"/>
      <c r="W19" s="24"/>
      <c r="X19" s="24"/>
      <c r="Y19" s="25"/>
      <c r="Z19" s="25"/>
      <c r="AA19" s="25"/>
      <c r="AB19" s="25"/>
      <c r="AC19" s="25"/>
      <c r="AD19" s="24"/>
      <c r="AE19" s="24"/>
      <c r="AF19" s="274"/>
      <c r="AG19" s="24"/>
      <c r="AH19" s="25"/>
      <c r="AI19" s="26"/>
      <c r="AJ19" s="25"/>
      <c r="AK19" s="31"/>
      <c r="AL19" s="24"/>
      <c r="AM19" s="24"/>
      <c r="AN19" s="24"/>
      <c r="AO19" s="24"/>
      <c r="AP19" s="27"/>
      <c r="AQ19" s="28"/>
      <c r="AR19" s="29"/>
      <c r="AS19" s="30"/>
      <c r="AV19" s="316"/>
      <c r="AW19" s="316"/>
      <c r="AX19" s="316"/>
      <c r="AY19" s="316"/>
      <c r="AZ19" s="315"/>
      <c r="BC19" s="261"/>
      <c r="BD19" s="261"/>
      <c r="BE19" s="261"/>
      <c r="BF19" s="261"/>
      <c r="BJ19" s="285"/>
      <c r="BK19" s="285"/>
      <c r="BM19" s="261"/>
      <c r="BN19" s="261"/>
    </row>
    <row r="20" spans="2:66" ht="22.9" hidden="1" customHeight="1" x14ac:dyDescent="0.25">
      <c r="B20" s="21"/>
      <c r="C20" s="171"/>
      <c r="D20" s="171"/>
      <c r="E20" s="152"/>
      <c r="F20" s="171"/>
      <c r="G20" s="171"/>
      <c r="H20" s="22"/>
      <c r="I20" s="172"/>
      <c r="J20" s="172"/>
      <c r="K20" s="171"/>
      <c r="L20" s="172"/>
      <c r="M20" s="172"/>
      <c r="N20" s="172"/>
      <c r="O20" s="172"/>
      <c r="P20" s="23"/>
      <c r="Q20" s="23"/>
      <c r="R20" s="172"/>
      <c r="S20" s="172"/>
      <c r="T20" s="172"/>
      <c r="U20" s="172"/>
      <c r="V20" s="20"/>
      <c r="W20" s="24"/>
      <c r="X20" s="24"/>
      <c r="Y20" s="25"/>
      <c r="Z20" s="25"/>
      <c r="AA20" s="25"/>
      <c r="AB20" s="25"/>
      <c r="AC20" s="25"/>
      <c r="AD20" s="24"/>
      <c r="AE20" s="24"/>
      <c r="AF20" s="274"/>
      <c r="AG20" s="24"/>
      <c r="AH20" s="25"/>
      <c r="AI20" s="26"/>
      <c r="AJ20" s="25"/>
      <c r="AK20" s="31"/>
      <c r="AL20" s="24"/>
      <c r="AM20" s="24"/>
      <c r="AN20" s="24"/>
      <c r="AO20" s="24"/>
      <c r="AP20" s="27"/>
      <c r="AQ20" s="28"/>
      <c r="AR20" s="29"/>
      <c r="AS20" s="30"/>
      <c r="AV20" s="316"/>
      <c r="AW20" s="316"/>
      <c r="AX20" s="316"/>
      <c r="AY20" s="316"/>
      <c r="AZ20" s="315"/>
      <c r="BC20" s="261"/>
      <c r="BD20" s="261"/>
      <c r="BE20" s="261"/>
      <c r="BF20" s="261"/>
      <c r="BJ20" s="285"/>
      <c r="BK20" s="285"/>
      <c r="BM20" s="261"/>
      <c r="BN20" s="261"/>
    </row>
    <row r="21" spans="2:66" ht="22.9" hidden="1" customHeight="1" x14ac:dyDescent="0.25">
      <c r="B21" s="21"/>
      <c r="C21" s="171"/>
      <c r="D21" s="171"/>
      <c r="E21" s="152"/>
      <c r="F21" s="171"/>
      <c r="G21" s="171"/>
      <c r="H21" s="22"/>
      <c r="I21" s="172"/>
      <c r="J21" s="172"/>
      <c r="K21" s="171"/>
      <c r="L21" s="172"/>
      <c r="M21" s="172"/>
      <c r="N21" s="172"/>
      <c r="O21" s="172"/>
      <c r="P21" s="23"/>
      <c r="Q21" s="23"/>
      <c r="R21" s="172"/>
      <c r="S21" s="172"/>
      <c r="T21" s="172"/>
      <c r="U21" s="172"/>
      <c r="V21" s="20"/>
      <c r="W21" s="24"/>
      <c r="X21" s="24"/>
      <c r="Y21" s="25"/>
      <c r="Z21" s="25"/>
      <c r="AA21" s="25"/>
      <c r="AB21" s="25"/>
      <c r="AC21" s="25"/>
      <c r="AD21" s="24"/>
      <c r="AE21" s="24"/>
      <c r="AF21" s="274"/>
      <c r="AG21" s="24"/>
      <c r="AH21" s="25"/>
      <c r="AI21" s="26"/>
      <c r="AJ21" s="25"/>
      <c r="AK21" s="31"/>
      <c r="AL21" s="24"/>
      <c r="AM21" s="24"/>
      <c r="AN21" s="24"/>
      <c r="AO21" s="24"/>
      <c r="AP21" s="27"/>
      <c r="AQ21" s="28"/>
      <c r="AR21" s="29"/>
      <c r="AS21" s="30"/>
      <c r="AV21" s="316"/>
      <c r="AW21" s="316"/>
      <c r="AX21" s="316"/>
      <c r="AY21" s="316"/>
      <c r="AZ21" s="315"/>
      <c r="BC21" s="261"/>
      <c r="BD21" s="261"/>
      <c r="BE21" s="261"/>
      <c r="BF21" s="261"/>
      <c r="BJ21" s="285"/>
      <c r="BK21" s="285"/>
      <c r="BM21" s="261"/>
      <c r="BN21" s="261"/>
    </row>
    <row r="22" spans="2:66" ht="22.9" hidden="1" customHeight="1" x14ac:dyDescent="0.25">
      <c r="B22" s="21"/>
      <c r="C22" s="171"/>
      <c r="D22" s="171"/>
      <c r="E22" s="152"/>
      <c r="F22" s="171"/>
      <c r="G22" s="171"/>
      <c r="H22" s="22"/>
      <c r="I22" s="172"/>
      <c r="J22" s="172"/>
      <c r="K22" s="171"/>
      <c r="L22" s="172"/>
      <c r="M22" s="172"/>
      <c r="N22" s="172"/>
      <c r="O22" s="172"/>
      <c r="P22" s="23"/>
      <c r="Q22" s="23"/>
      <c r="R22" s="172"/>
      <c r="S22" s="172"/>
      <c r="T22" s="172"/>
      <c r="U22" s="172"/>
      <c r="V22" s="20"/>
      <c r="W22" s="24"/>
      <c r="X22" s="24"/>
      <c r="Y22" s="25"/>
      <c r="Z22" s="25"/>
      <c r="AA22" s="25"/>
      <c r="AB22" s="25"/>
      <c r="AC22" s="25"/>
      <c r="AD22" s="24"/>
      <c r="AE22" s="24"/>
      <c r="AF22" s="274"/>
      <c r="AG22" s="24"/>
      <c r="AH22" s="25"/>
      <c r="AI22" s="26"/>
      <c r="AJ22" s="25"/>
      <c r="AK22" s="31"/>
      <c r="AL22" s="24"/>
      <c r="AM22" s="24"/>
      <c r="AN22" s="24"/>
      <c r="AO22" s="24"/>
      <c r="AP22" s="27"/>
      <c r="AQ22" s="28"/>
      <c r="AR22" s="29"/>
      <c r="AS22" s="30"/>
      <c r="AV22" s="316"/>
      <c r="AW22" s="316"/>
      <c r="AX22" s="316"/>
      <c r="AY22" s="316"/>
      <c r="AZ22" s="315"/>
      <c r="BC22" s="261"/>
      <c r="BD22" s="261"/>
      <c r="BE22" s="261"/>
      <c r="BF22" s="261"/>
      <c r="BJ22" s="285"/>
      <c r="BK22" s="285"/>
      <c r="BM22" s="261"/>
      <c r="BN22" s="261"/>
    </row>
    <row r="23" spans="2:66" ht="22.9" hidden="1" customHeight="1" x14ac:dyDescent="0.25">
      <c r="B23" s="21"/>
      <c r="C23" s="171"/>
      <c r="D23" s="171"/>
      <c r="E23" s="152"/>
      <c r="F23" s="171"/>
      <c r="G23" s="171"/>
      <c r="H23" s="22"/>
      <c r="I23" s="172"/>
      <c r="J23" s="172"/>
      <c r="K23" s="171"/>
      <c r="L23" s="172"/>
      <c r="M23" s="172"/>
      <c r="N23" s="172"/>
      <c r="O23" s="172"/>
      <c r="P23" s="23"/>
      <c r="Q23" s="23"/>
      <c r="R23" s="172"/>
      <c r="S23" s="172"/>
      <c r="T23" s="172"/>
      <c r="U23" s="172"/>
      <c r="V23" s="20"/>
      <c r="W23" s="24"/>
      <c r="X23" s="24"/>
      <c r="Y23" s="25"/>
      <c r="Z23" s="25"/>
      <c r="AA23" s="25"/>
      <c r="AB23" s="25"/>
      <c r="AC23" s="25"/>
      <c r="AD23" s="24"/>
      <c r="AE23" s="24"/>
      <c r="AF23" s="274"/>
      <c r="AG23" s="24"/>
      <c r="AH23" s="25"/>
      <c r="AI23" s="26"/>
      <c r="AJ23" s="25"/>
      <c r="AK23" s="31"/>
      <c r="AL23" s="24"/>
      <c r="AM23" s="24"/>
      <c r="AN23" s="24"/>
      <c r="AO23" s="24"/>
      <c r="AP23" s="27"/>
      <c r="AQ23" s="28"/>
      <c r="AR23" s="29"/>
      <c r="AS23" s="30"/>
      <c r="AV23" s="316"/>
      <c r="AW23" s="316"/>
      <c r="AX23" s="316"/>
      <c r="AY23" s="316"/>
      <c r="AZ23" s="315"/>
      <c r="BC23" s="261"/>
      <c r="BD23" s="261"/>
      <c r="BE23" s="261"/>
      <c r="BF23" s="261"/>
      <c r="BJ23" s="285"/>
      <c r="BK23" s="285"/>
      <c r="BM23" s="261"/>
      <c r="BN23" s="261"/>
    </row>
    <row r="24" spans="2:66" ht="22.9" hidden="1" customHeight="1" x14ac:dyDescent="0.25">
      <c r="B24" s="21"/>
      <c r="C24" s="171"/>
      <c r="D24" s="171"/>
      <c r="E24" s="152"/>
      <c r="F24" s="171"/>
      <c r="G24" s="171"/>
      <c r="H24" s="22"/>
      <c r="I24" s="172"/>
      <c r="J24" s="172"/>
      <c r="K24" s="171"/>
      <c r="L24" s="172"/>
      <c r="M24" s="172"/>
      <c r="N24" s="172"/>
      <c r="O24" s="172"/>
      <c r="P24" s="23"/>
      <c r="Q24" s="23"/>
      <c r="R24" s="172"/>
      <c r="S24" s="172"/>
      <c r="T24" s="172"/>
      <c r="U24" s="172"/>
      <c r="V24" s="20"/>
      <c r="W24" s="24"/>
      <c r="X24" s="24"/>
      <c r="Y24" s="25"/>
      <c r="Z24" s="25"/>
      <c r="AA24" s="25"/>
      <c r="AB24" s="25"/>
      <c r="AC24" s="25"/>
      <c r="AD24" s="24"/>
      <c r="AE24" s="24"/>
      <c r="AF24" s="274"/>
      <c r="AG24" s="24"/>
      <c r="AH24" s="25"/>
      <c r="AI24" s="26"/>
      <c r="AJ24" s="25"/>
      <c r="AK24" s="31"/>
      <c r="AL24" s="24"/>
      <c r="AM24" s="24"/>
      <c r="AN24" s="24"/>
      <c r="AO24" s="24"/>
      <c r="AP24" s="27"/>
      <c r="AQ24" s="28"/>
      <c r="AR24" s="29"/>
      <c r="AS24" s="30"/>
      <c r="AV24" s="316"/>
      <c r="AW24" s="316"/>
      <c r="AX24" s="316"/>
      <c r="AY24" s="316"/>
      <c r="AZ24" s="315"/>
      <c r="BC24" s="261"/>
      <c r="BD24" s="261"/>
      <c r="BE24" s="261"/>
      <c r="BF24" s="261"/>
      <c r="BJ24" s="285"/>
      <c r="BK24" s="285"/>
      <c r="BM24" s="261"/>
      <c r="BN24" s="261"/>
    </row>
    <row r="25" spans="2:66" ht="22.9" hidden="1" customHeight="1" x14ac:dyDescent="0.25">
      <c r="B25" s="21"/>
      <c r="C25" s="171"/>
      <c r="D25" s="131"/>
      <c r="E25" s="152"/>
      <c r="F25" s="171"/>
      <c r="G25" s="171"/>
      <c r="H25" s="22"/>
      <c r="I25" s="172"/>
      <c r="J25" s="172"/>
      <c r="K25" s="171"/>
      <c r="L25" s="172"/>
      <c r="M25" s="172"/>
      <c r="N25" s="172"/>
      <c r="O25" s="172"/>
      <c r="P25" s="23"/>
      <c r="Q25" s="23"/>
      <c r="R25" s="172"/>
      <c r="S25" s="172"/>
      <c r="T25" s="172"/>
      <c r="U25" s="172"/>
      <c r="V25" s="20"/>
      <c r="W25" s="24"/>
      <c r="X25" s="24"/>
      <c r="Y25" s="25"/>
      <c r="Z25" s="25"/>
      <c r="AA25" s="25"/>
      <c r="AB25" s="25"/>
      <c r="AC25" s="25"/>
      <c r="AD25" s="24"/>
      <c r="AE25" s="24"/>
      <c r="AF25" s="274"/>
      <c r="AG25" s="24"/>
      <c r="AH25" s="25"/>
      <c r="AI25" s="26"/>
      <c r="AJ25" s="25"/>
      <c r="AK25" s="31"/>
      <c r="AL25" s="24"/>
      <c r="AM25" s="24"/>
      <c r="AN25" s="24"/>
      <c r="AO25" s="24"/>
      <c r="AP25" s="27"/>
      <c r="AQ25" s="28"/>
      <c r="AR25" s="29"/>
      <c r="AS25" s="30"/>
      <c r="AV25" s="316"/>
      <c r="AW25" s="316"/>
      <c r="AX25" s="316"/>
      <c r="AY25" s="316"/>
      <c r="AZ25" s="315"/>
      <c r="BC25" s="261"/>
      <c r="BD25" s="261"/>
      <c r="BE25" s="261"/>
      <c r="BF25" s="261"/>
      <c r="BJ25" s="285"/>
      <c r="BK25" s="285"/>
      <c r="BM25" s="261"/>
      <c r="BN25" s="261"/>
    </row>
    <row r="26" spans="2:66" ht="22.9" hidden="1" customHeight="1" x14ac:dyDescent="0.25">
      <c r="B26" s="21"/>
      <c r="C26" s="171"/>
      <c r="D26" s="171"/>
      <c r="E26" s="152"/>
      <c r="F26" s="171"/>
      <c r="G26" s="171"/>
      <c r="H26" s="22"/>
      <c r="I26" s="172"/>
      <c r="J26" s="172"/>
      <c r="K26" s="171"/>
      <c r="L26" s="172"/>
      <c r="M26" s="172"/>
      <c r="N26" s="172"/>
      <c r="O26" s="172"/>
      <c r="P26" s="23"/>
      <c r="Q26" s="23"/>
      <c r="R26" s="172"/>
      <c r="S26" s="172"/>
      <c r="T26" s="172"/>
      <c r="U26" s="172"/>
      <c r="V26" s="20"/>
      <c r="W26" s="24"/>
      <c r="X26" s="24"/>
      <c r="Y26" s="25"/>
      <c r="Z26" s="25"/>
      <c r="AA26" s="25"/>
      <c r="AB26" s="25"/>
      <c r="AC26" s="25"/>
      <c r="AD26" s="24"/>
      <c r="AE26" s="24"/>
      <c r="AF26" s="274"/>
      <c r="AG26" s="24"/>
      <c r="AH26" s="25"/>
      <c r="AI26" s="26"/>
      <c r="AJ26" s="25"/>
      <c r="AK26" s="31"/>
      <c r="AL26" s="24"/>
      <c r="AM26" s="24"/>
      <c r="AN26" s="24"/>
      <c r="AO26" s="24"/>
      <c r="AP26" s="27"/>
      <c r="AQ26" s="28"/>
      <c r="AR26" s="29"/>
      <c r="AS26" s="30"/>
      <c r="AV26" s="316"/>
      <c r="AW26" s="316"/>
      <c r="AX26" s="316"/>
      <c r="AY26" s="316"/>
      <c r="AZ26" s="315"/>
      <c r="BC26" s="261"/>
      <c r="BD26" s="261"/>
      <c r="BE26" s="261"/>
      <c r="BF26" s="261"/>
      <c r="BJ26" s="285"/>
      <c r="BK26" s="285"/>
      <c r="BM26" s="261"/>
      <c r="BN26" s="261"/>
    </row>
    <row r="27" spans="2:66" ht="22.9" hidden="1" customHeight="1" x14ac:dyDescent="0.25">
      <c r="B27" s="21"/>
      <c r="C27" s="171"/>
      <c r="D27" s="171"/>
      <c r="E27" s="152"/>
      <c r="F27" s="171"/>
      <c r="G27" s="171"/>
      <c r="H27" s="22"/>
      <c r="I27" s="172"/>
      <c r="J27" s="172"/>
      <c r="K27" s="171"/>
      <c r="L27" s="172"/>
      <c r="M27" s="172"/>
      <c r="N27" s="172"/>
      <c r="O27" s="172"/>
      <c r="P27" s="23"/>
      <c r="Q27" s="23"/>
      <c r="R27" s="172"/>
      <c r="S27" s="172"/>
      <c r="T27" s="172"/>
      <c r="U27" s="172"/>
      <c r="V27" s="20"/>
      <c r="W27" s="24"/>
      <c r="X27" s="24"/>
      <c r="Y27" s="25"/>
      <c r="Z27" s="25"/>
      <c r="AA27" s="25"/>
      <c r="AB27" s="25"/>
      <c r="AC27" s="25"/>
      <c r="AD27" s="24"/>
      <c r="AE27" s="24"/>
      <c r="AF27" s="274"/>
      <c r="AG27" s="24"/>
      <c r="AH27" s="25"/>
      <c r="AI27" s="26"/>
      <c r="AJ27" s="25"/>
      <c r="AK27" s="31"/>
      <c r="AL27" s="24"/>
      <c r="AM27" s="24"/>
      <c r="AN27" s="24"/>
      <c r="AO27" s="24"/>
      <c r="AP27" s="27"/>
      <c r="AQ27" s="28"/>
      <c r="AR27" s="29"/>
      <c r="AS27" s="30"/>
      <c r="AV27" s="316"/>
      <c r="AW27" s="316"/>
      <c r="AX27" s="316"/>
      <c r="AY27" s="316"/>
      <c r="AZ27" s="315"/>
      <c r="BC27" s="261"/>
      <c r="BD27" s="261"/>
      <c r="BE27" s="261"/>
      <c r="BF27" s="261"/>
      <c r="BJ27" s="285"/>
      <c r="BK27" s="285"/>
      <c r="BM27" s="261"/>
      <c r="BN27" s="261"/>
    </row>
    <row r="28" spans="2:66" ht="22.9" hidden="1" customHeight="1" x14ac:dyDescent="0.25">
      <c r="B28" s="21"/>
      <c r="C28" s="171"/>
      <c r="D28" s="131"/>
      <c r="E28" s="152"/>
      <c r="F28" s="171"/>
      <c r="G28" s="171"/>
      <c r="H28" s="22"/>
      <c r="I28" s="172"/>
      <c r="J28" s="172"/>
      <c r="K28" s="171"/>
      <c r="L28" s="172"/>
      <c r="M28" s="172"/>
      <c r="N28" s="172"/>
      <c r="O28" s="172"/>
      <c r="P28" s="23"/>
      <c r="Q28" s="23"/>
      <c r="R28" s="172"/>
      <c r="S28" s="172"/>
      <c r="T28" s="172"/>
      <c r="U28" s="172"/>
      <c r="V28" s="20"/>
      <c r="W28" s="24"/>
      <c r="X28" s="24"/>
      <c r="Y28" s="25"/>
      <c r="Z28" s="25"/>
      <c r="AA28" s="25"/>
      <c r="AB28" s="25"/>
      <c r="AC28" s="25"/>
      <c r="AD28" s="24"/>
      <c r="AE28" s="24"/>
      <c r="AF28" s="24"/>
      <c r="AG28" s="24"/>
      <c r="AH28" s="25"/>
      <c r="AI28" s="26"/>
      <c r="AJ28" s="25"/>
      <c r="AK28" s="31"/>
      <c r="AL28" s="24"/>
      <c r="AM28" s="24"/>
      <c r="AN28" s="24"/>
      <c r="AO28" s="24"/>
      <c r="AP28" s="27"/>
      <c r="AQ28" s="28"/>
      <c r="AR28" s="29"/>
      <c r="AS28" s="30"/>
      <c r="AV28" s="316"/>
      <c r="AW28" s="316"/>
      <c r="AX28" s="316"/>
      <c r="AY28" s="316"/>
      <c r="AZ28" s="315"/>
      <c r="BC28" s="261"/>
      <c r="BD28" s="261"/>
      <c r="BE28" s="261"/>
      <c r="BF28" s="261"/>
      <c r="BJ28" s="285"/>
      <c r="BK28" s="285"/>
      <c r="BM28" s="261"/>
      <c r="BN28" s="261"/>
    </row>
    <row r="29" spans="2:66" ht="22.9" hidden="1" customHeight="1" x14ac:dyDescent="0.25">
      <c r="B29" s="21"/>
      <c r="C29" s="171"/>
      <c r="D29" s="171"/>
      <c r="E29" s="152"/>
      <c r="F29" s="171"/>
      <c r="G29" s="171"/>
      <c r="H29" s="22"/>
      <c r="I29" s="172"/>
      <c r="J29" s="172"/>
      <c r="K29" s="171"/>
      <c r="L29" s="172"/>
      <c r="M29" s="172"/>
      <c r="N29" s="172"/>
      <c r="O29" s="172"/>
      <c r="P29" s="23"/>
      <c r="Q29" s="23"/>
      <c r="R29" s="172"/>
      <c r="S29" s="172"/>
      <c r="T29" s="172"/>
      <c r="U29" s="172"/>
      <c r="V29" s="20"/>
      <c r="W29" s="24"/>
      <c r="X29" s="24"/>
      <c r="Y29" s="25"/>
      <c r="Z29" s="25"/>
      <c r="AA29" s="25"/>
      <c r="AB29" s="25"/>
      <c r="AC29" s="25"/>
      <c r="AD29" s="24"/>
      <c r="AE29" s="24"/>
      <c r="AF29" s="274"/>
      <c r="AG29" s="24"/>
      <c r="AH29" s="25"/>
      <c r="AI29" s="26"/>
      <c r="AJ29" s="25"/>
      <c r="AK29" s="31"/>
      <c r="AL29" s="24"/>
      <c r="AM29" s="24"/>
      <c r="AN29" s="24"/>
      <c r="AO29" s="24"/>
      <c r="AP29" s="27"/>
      <c r="AQ29" s="28"/>
      <c r="AR29" s="29"/>
      <c r="AS29" s="30"/>
      <c r="AV29" s="316"/>
      <c r="AW29" s="316"/>
      <c r="AX29" s="316"/>
      <c r="AY29" s="316"/>
      <c r="AZ29" s="315"/>
      <c r="BC29" s="261"/>
      <c r="BD29" s="261"/>
      <c r="BE29" s="261"/>
      <c r="BF29" s="261"/>
      <c r="BJ29" s="285"/>
      <c r="BK29" s="285"/>
      <c r="BM29" s="261"/>
      <c r="BN29" s="261"/>
    </row>
    <row r="30" spans="2:66" ht="22.9" hidden="1" customHeight="1" x14ac:dyDescent="0.25">
      <c r="B30" s="21"/>
      <c r="C30" s="171"/>
      <c r="D30" s="171"/>
      <c r="E30" s="152"/>
      <c r="F30" s="171"/>
      <c r="G30" s="171"/>
      <c r="H30" s="22"/>
      <c r="I30" s="172"/>
      <c r="J30" s="172"/>
      <c r="K30" s="171"/>
      <c r="L30" s="172"/>
      <c r="M30" s="172"/>
      <c r="N30" s="172"/>
      <c r="O30" s="172"/>
      <c r="P30" s="23"/>
      <c r="Q30" s="23"/>
      <c r="R30" s="172"/>
      <c r="S30" s="172"/>
      <c r="T30" s="172"/>
      <c r="U30" s="172"/>
      <c r="V30" s="20"/>
      <c r="W30" s="24"/>
      <c r="X30" s="24"/>
      <c r="Y30" s="25"/>
      <c r="Z30" s="25"/>
      <c r="AA30" s="25"/>
      <c r="AB30" s="25"/>
      <c r="AC30" s="25"/>
      <c r="AD30" s="24"/>
      <c r="AE30" s="24"/>
      <c r="AF30" s="274"/>
      <c r="AG30" s="24"/>
      <c r="AH30" s="25"/>
      <c r="AI30" s="26"/>
      <c r="AJ30" s="25"/>
      <c r="AK30" s="31"/>
      <c r="AL30" s="24"/>
      <c r="AM30" s="24"/>
      <c r="AN30" s="24"/>
      <c r="AO30" s="24"/>
      <c r="AP30" s="27"/>
      <c r="AQ30" s="28"/>
      <c r="AR30" s="29"/>
      <c r="AS30" s="30"/>
      <c r="AV30" s="316"/>
      <c r="AW30" s="316"/>
      <c r="AX30" s="316"/>
      <c r="AY30" s="316"/>
      <c r="AZ30" s="315"/>
      <c r="BC30" s="261"/>
      <c r="BD30" s="261"/>
      <c r="BE30" s="261"/>
      <c r="BF30" s="261"/>
      <c r="BJ30" s="285"/>
      <c r="BK30" s="285"/>
      <c r="BM30" s="261"/>
      <c r="BN30" s="261"/>
    </row>
    <row r="31" spans="2:66" ht="22.9" hidden="1" customHeight="1" x14ac:dyDescent="0.25">
      <c r="B31" s="21"/>
      <c r="C31" s="171"/>
      <c r="D31" s="171"/>
      <c r="E31" s="152"/>
      <c r="F31" s="171"/>
      <c r="G31" s="171"/>
      <c r="H31" s="22"/>
      <c r="I31" s="172"/>
      <c r="J31" s="172"/>
      <c r="K31" s="171"/>
      <c r="L31" s="172"/>
      <c r="M31" s="172"/>
      <c r="N31" s="172"/>
      <c r="O31" s="172"/>
      <c r="P31" s="23"/>
      <c r="Q31" s="23"/>
      <c r="R31" s="172"/>
      <c r="S31" s="172"/>
      <c r="T31" s="172"/>
      <c r="U31" s="172"/>
      <c r="V31" s="20"/>
      <c r="W31" s="24"/>
      <c r="X31" s="24"/>
      <c r="Y31" s="25"/>
      <c r="Z31" s="25"/>
      <c r="AA31" s="25"/>
      <c r="AB31" s="25"/>
      <c r="AC31" s="25"/>
      <c r="AD31" s="24"/>
      <c r="AE31" s="24"/>
      <c r="AF31" s="274"/>
      <c r="AG31" s="24"/>
      <c r="AH31" s="25"/>
      <c r="AI31" s="26"/>
      <c r="AJ31" s="25"/>
      <c r="AK31" s="31"/>
      <c r="AL31" s="24"/>
      <c r="AM31" s="24"/>
      <c r="AN31" s="24"/>
      <c r="AO31" s="24"/>
      <c r="AP31" s="27"/>
      <c r="AQ31" s="28"/>
      <c r="AR31" s="29"/>
      <c r="AS31" s="30"/>
      <c r="AV31" s="316"/>
      <c r="AW31" s="316"/>
      <c r="AX31" s="316"/>
      <c r="AY31" s="316"/>
      <c r="AZ31" s="315"/>
      <c r="BC31" s="261"/>
      <c r="BD31" s="261"/>
      <c r="BE31" s="261"/>
      <c r="BF31" s="261"/>
      <c r="BJ31" s="285"/>
      <c r="BK31" s="285"/>
      <c r="BM31" s="261"/>
      <c r="BN31" s="261"/>
    </row>
    <row r="32" spans="2:66" ht="22.9" hidden="1" customHeight="1" x14ac:dyDescent="0.25">
      <c r="B32" s="21"/>
      <c r="C32" s="171"/>
      <c r="D32" s="171"/>
      <c r="E32" s="152"/>
      <c r="F32" s="171"/>
      <c r="G32" s="171"/>
      <c r="H32" s="22"/>
      <c r="I32" s="172"/>
      <c r="J32" s="172"/>
      <c r="K32" s="171"/>
      <c r="L32" s="172"/>
      <c r="M32" s="172"/>
      <c r="N32" s="172"/>
      <c r="O32" s="172"/>
      <c r="P32" s="23"/>
      <c r="Q32" s="23"/>
      <c r="R32" s="172"/>
      <c r="S32" s="172"/>
      <c r="T32" s="172"/>
      <c r="U32" s="172"/>
      <c r="V32" s="20"/>
      <c r="W32" s="24"/>
      <c r="X32" s="24"/>
      <c r="Y32" s="25"/>
      <c r="Z32" s="25"/>
      <c r="AA32" s="25"/>
      <c r="AB32" s="25"/>
      <c r="AC32" s="25"/>
      <c r="AD32" s="24"/>
      <c r="AE32" s="24"/>
      <c r="AF32" s="274"/>
      <c r="AG32" s="24"/>
      <c r="AH32" s="25"/>
      <c r="AI32" s="26"/>
      <c r="AJ32" s="25"/>
      <c r="AK32" s="31"/>
      <c r="AL32" s="24"/>
      <c r="AM32" s="24"/>
      <c r="AN32" s="24"/>
      <c r="AO32" s="24"/>
      <c r="AP32" s="27"/>
      <c r="AQ32" s="28"/>
      <c r="AR32" s="29"/>
      <c r="AS32" s="30"/>
      <c r="AV32" s="316"/>
      <c r="AW32" s="316"/>
      <c r="AX32" s="316"/>
      <c r="AY32" s="316"/>
      <c r="AZ32" s="315"/>
      <c r="BC32" s="261"/>
      <c r="BD32" s="261"/>
      <c r="BE32" s="261"/>
      <c r="BF32" s="261"/>
      <c r="BJ32" s="285"/>
      <c r="BK32" s="285"/>
      <c r="BM32" s="261"/>
      <c r="BN32" s="261"/>
    </row>
    <row r="33" spans="2:66" ht="22.9" hidden="1" customHeight="1" x14ac:dyDescent="0.25">
      <c r="B33" s="21"/>
      <c r="C33" s="171"/>
      <c r="D33" s="171"/>
      <c r="E33" s="152"/>
      <c r="F33" s="171"/>
      <c r="G33" s="171"/>
      <c r="H33" s="22"/>
      <c r="I33" s="172"/>
      <c r="J33" s="172"/>
      <c r="K33" s="171"/>
      <c r="L33" s="172"/>
      <c r="M33" s="172"/>
      <c r="N33" s="172"/>
      <c r="O33" s="172"/>
      <c r="P33" s="23"/>
      <c r="Q33" s="23"/>
      <c r="R33" s="172"/>
      <c r="S33" s="172"/>
      <c r="T33" s="172"/>
      <c r="U33" s="172"/>
      <c r="V33" s="20"/>
      <c r="W33" s="24"/>
      <c r="X33" s="24"/>
      <c r="Y33" s="25"/>
      <c r="Z33" s="25"/>
      <c r="AA33" s="25"/>
      <c r="AB33" s="25"/>
      <c r="AC33" s="25"/>
      <c r="AD33" s="24"/>
      <c r="AE33" s="24"/>
      <c r="AF33" s="274"/>
      <c r="AG33" s="24"/>
      <c r="AH33" s="25"/>
      <c r="AI33" s="26"/>
      <c r="AJ33" s="25"/>
      <c r="AK33" s="31"/>
      <c r="AL33" s="24"/>
      <c r="AM33" s="24"/>
      <c r="AN33" s="24"/>
      <c r="AO33" s="24"/>
      <c r="AP33" s="27"/>
      <c r="AQ33" s="28"/>
      <c r="AR33" s="29"/>
      <c r="AS33" s="30"/>
      <c r="AV33" s="316"/>
      <c r="AW33" s="316"/>
      <c r="AX33" s="316"/>
      <c r="AY33" s="316"/>
      <c r="AZ33" s="315"/>
      <c r="BC33" s="261"/>
      <c r="BD33" s="261"/>
      <c r="BE33" s="261"/>
      <c r="BF33" s="261"/>
      <c r="BJ33" s="285"/>
      <c r="BK33" s="285"/>
      <c r="BM33" s="261"/>
      <c r="BN33" s="261"/>
    </row>
    <row r="34" spans="2:66" ht="22.9" hidden="1" customHeight="1" x14ac:dyDescent="0.25">
      <c r="B34" s="21"/>
      <c r="C34" s="171"/>
      <c r="D34" s="171"/>
      <c r="E34" s="152"/>
      <c r="F34" s="171"/>
      <c r="G34" s="171"/>
      <c r="H34" s="22"/>
      <c r="I34" s="172"/>
      <c r="J34" s="172"/>
      <c r="K34" s="171"/>
      <c r="L34" s="172"/>
      <c r="M34" s="172"/>
      <c r="N34" s="172"/>
      <c r="O34" s="172"/>
      <c r="P34" s="23"/>
      <c r="Q34" s="23"/>
      <c r="R34" s="172"/>
      <c r="S34" s="172"/>
      <c r="T34" s="172"/>
      <c r="U34" s="172"/>
      <c r="V34" s="20"/>
      <c r="W34" s="24"/>
      <c r="X34" s="24"/>
      <c r="Y34" s="25"/>
      <c r="Z34" s="25"/>
      <c r="AA34" s="25"/>
      <c r="AB34" s="25"/>
      <c r="AC34" s="25"/>
      <c r="AD34" s="24"/>
      <c r="AE34" s="24"/>
      <c r="AF34" s="274"/>
      <c r="AG34" s="24"/>
      <c r="AH34" s="25"/>
      <c r="AI34" s="26"/>
      <c r="AJ34" s="25"/>
      <c r="AK34" s="31"/>
      <c r="AL34" s="24"/>
      <c r="AM34" s="24"/>
      <c r="AN34" s="24"/>
      <c r="AO34" s="24"/>
      <c r="AP34" s="27"/>
      <c r="AQ34" s="28"/>
      <c r="AR34" s="29"/>
      <c r="AS34" s="30"/>
      <c r="AV34" s="316"/>
      <c r="AW34" s="316"/>
      <c r="AX34" s="316"/>
      <c r="AY34" s="316"/>
      <c r="AZ34" s="315"/>
      <c r="BC34" s="261"/>
      <c r="BD34" s="261"/>
      <c r="BE34" s="261"/>
      <c r="BF34" s="261"/>
      <c r="BJ34" s="285"/>
      <c r="BK34" s="285"/>
      <c r="BM34" s="261"/>
      <c r="BN34" s="261"/>
    </row>
    <row r="35" spans="2:66" ht="22.9" hidden="1" customHeight="1" x14ac:dyDescent="0.25">
      <c r="B35" s="21"/>
      <c r="C35" s="171"/>
      <c r="D35" s="171"/>
      <c r="E35" s="152"/>
      <c r="F35" s="171"/>
      <c r="G35" s="171"/>
      <c r="H35" s="22"/>
      <c r="I35" s="172"/>
      <c r="J35" s="172"/>
      <c r="K35" s="171"/>
      <c r="L35" s="172"/>
      <c r="M35" s="172"/>
      <c r="N35" s="172"/>
      <c r="O35" s="172"/>
      <c r="P35" s="23"/>
      <c r="Q35" s="23"/>
      <c r="R35" s="172"/>
      <c r="S35" s="172"/>
      <c r="T35" s="172"/>
      <c r="U35" s="172"/>
      <c r="V35" s="20"/>
      <c r="W35" s="24"/>
      <c r="X35" s="24"/>
      <c r="Y35" s="25"/>
      <c r="Z35" s="25"/>
      <c r="AA35" s="25"/>
      <c r="AB35" s="25"/>
      <c r="AC35" s="25"/>
      <c r="AD35" s="24"/>
      <c r="AE35" s="24"/>
      <c r="AF35" s="274"/>
      <c r="AG35" s="24"/>
      <c r="AH35" s="25"/>
      <c r="AI35" s="26"/>
      <c r="AJ35" s="25"/>
      <c r="AK35" s="31"/>
      <c r="AL35" s="24"/>
      <c r="AM35" s="24"/>
      <c r="AN35" s="24"/>
      <c r="AO35" s="24"/>
      <c r="AP35" s="27"/>
      <c r="AQ35" s="28"/>
      <c r="AR35" s="29"/>
      <c r="AS35" s="30"/>
      <c r="AV35" s="316"/>
      <c r="AW35" s="316"/>
      <c r="AX35" s="316"/>
      <c r="AY35" s="316"/>
      <c r="AZ35" s="315"/>
      <c r="BC35" s="261"/>
      <c r="BD35" s="261"/>
      <c r="BE35" s="261"/>
      <c r="BF35" s="261"/>
      <c r="BJ35" s="285"/>
      <c r="BK35" s="285"/>
      <c r="BM35" s="261"/>
      <c r="BN35" s="261"/>
    </row>
    <row r="36" spans="2:66" ht="22.9" hidden="1" customHeight="1" x14ac:dyDescent="0.25">
      <c r="B36" s="21"/>
      <c r="C36" s="171"/>
      <c r="D36" s="171"/>
      <c r="E36" s="152"/>
      <c r="F36" s="171"/>
      <c r="G36" s="171"/>
      <c r="H36" s="22"/>
      <c r="I36" s="172"/>
      <c r="J36" s="172"/>
      <c r="K36" s="171"/>
      <c r="L36" s="172"/>
      <c r="M36" s="172"/>
      <c r="N36" s="172"/>
      <c r="O36" s="172"/>
      <c r="P36" s="23"/>
      <c r="Q36" s="23"/>
      <c r="R36" s="172"/>
      <c r="S36" s="172"/>
      <c r="T36" s="172"/>
      <c r="U36" s="172"/>
      <c r="V36" s="20"/>
      <c r="W36" s="24"/>
      <c r="X36" s="24"/>
      <c r="Y36" s="25"/>
      <c r="Z36" s="25"/>
      <c r="AA36" s="25"/>
      <c r="AB36" s="25"/>
      <c r="AC36" s="25"/>
      <c r="AD36" s="24"/>
      <c r="AE36" s="24"/>
      <c r="AF36" s="274"/>
      <c r="AG36" s="24"/>
      <c r="AH36" s="25"/>
      <c r="AI36" s="26"/>
      <c r="AJ36" s="25"/>
      <c r="AK36" s="31"/>
      <c r="AL36" s="24"/>
      <c r="AM36" s="24"/>
      <c r="AN36" s="24"/>
      <c r="AO36" s="24"/>
      <c r="AP36" s="27"/>
      <c r="AQ36" s="28"/>
      <c r="AR36" s="29"/>
      <c r="AS36" s="30"/>
      <c r="AV36" s="316"/>
      <c r="AW36" s="316"/>
      <c r="AX36" s="316"/>
      <c r="AY36" s="316"/>
      <c r="AZ36" s="315"/>
      <c r="BC36" s="261"/>
      <c r="BD36" s="261"/>
      <c r="BE36" s="261"/>
      <c r="BF36" s="261"/>
      <c r="BJ36" s="285"/>
      <c r="BK36" s="285"/>
      <c r="BM36" s="261"/>
      <c r="BN36" s="261"/>
    </row>
    <row r="37" spans="2:66" ht="22.9" hidden="1" customHeight="1" x14ac:dyDescent="0.25">
      <c r="B37" s="21"/>
      <c r="C37" s="171"/>
      <c r="D37" s="171"/>
      <c r="E37" s="152"/>
      <c r="F37" s="171"/>
      <c r="G37" s="171"/>
      <c r="H37" s="22"/>
      <c r="I37" s="172"/>
      <c r="J37" s="172"/>
      <c r="K37" s="171"/>
      <c r="L37" s="172"/>
      <c r="M37" s="172"/>
      <c r="N37" s="172"/>
      <c r="O37" s="172"/>
      <c r="P37" s="23"/>
      <c r="Q37" s="23"/>
      <c r="R37" s="172"/>
      <c r="S37" s="172"/>
      <c r="T37" s="172"/>
      <c r="U37" s="172"/>
      <c r="V37" s="20"/>
      <c r="W37" s="24"/>
      <c r="X37" s="24"/>
      <c r="Y37" s="25"/>
      <c r="Z37" s="25"/>
      <c r="AA37" s="25"/>
      <c r="AB37" s="25"/>
      <c r="AC37" s="25"/>
      <c r="AD37" s="24"/>
      <c r="AE37" s="24"/>
      <c r="AF37" s="274"/>
      <c r="AG37" s="24"/>
      <c r="AH37" s="25"/>
      <c r="AI37" s="26"/>
      <c r="AJ37" s="25"/>
      <c r="AK37" s="31"/>
      <c r="AL37" s="24"/>
      <c r="AM37" s="24"/>
      <c r="AN37" s="24"/>
      <c r="AO37" s="24"/>
      <c r="AP37" s="27"/>
      <c r="AQ37" s="28"/>
      <c r="AR37" s="29"/>
      <c r="AS37" s="30"/>
      <c r="AV37" s="316"/>
      <c r="AW37" s="316"/>
      <c r="AX37" s="316"/>
      <c r="AY37" s="316"/>
      <c r="AZ37" s="315"/>
      <c r="BC37" s="261"/>
      <c r="BD37" s="261"/>
      <c r="BE37" s="261"/>
      <c r="BF37" s="261"/>
      <c r="BJ37" s="285"/>
      <c r="BK37" s="285"/>
      <c r="BM37" s="261"/>
      <c r="BN37" s="261"/>
    </row>
    <row r="38" spans="2:66" ht="22.9" hidden="1" customHeight="1" x14ac:dyDescent="0.25">
      <c r="B38" s="21"/>
      <c r="C38" s="171"/>
      <c r="D38" s="171"/>
      <c r="E38" s="152"/>
      <c r="F38" s="171"/>
      <c r="G38" s="171"/>
      <c r="H38" s="22"/>
      <c r="I38" s="172"/>
      <c r="J38" s="172"/>
      <c r="K38" s="171"/>
      <c r="L38" s="172"/>
      <c r="M38" s="172"/>
      <c r="N38" s="172"/>
      <c r="O38" s="172"/>
      <c r="P38" s="23"/>
      <c r="Q38" s="23"/>
      <c r="R38" s="172"/>
      <c r="S38" s="172"/>
      <c r="T38" s="172"/>
      <c r="U38" s="172"/>
      <c r="V38" s="20"/>
      <c r="W38" s="24"/>
      <c r="X38" s="24"/>
      <c r="Y38" s="25"/>
      <c r="Z38" s="25"/>
      <c r="AA38" s="25"/>
      <c r="AB38" s="25"/>
      <c r="AC38" s="25"/>
      <c r="AD38" s="24"/>
      <c r="AE38" s="24"/>
      <c r="AF38" s="274"/>
      <c r="AG38" s="24"/>
      <c r="AH38" s="25"/>
      <c r="AI38" s="26"/>
      <c r="AJ38" s="25"/>
      <c r="AK38" s="31"/>
      <c r="AL38" s="24"/>
      <c r="AM38" s="24"/>
      <c r="AN38" s="24"/>
      <c r="AO38" s="24"/>
      <c r="AP38" s="27"/>
      <c r="AQ38" s="28"/>
      <c r="AR38" s="29"/>
      <c r="AS38" s="30"/>
      <c r="AV38" s="316"/>
      <c r="AW38" s="316"/>
      <c r="AX38" s="316"/>
      <c r="AY38" s="316"/>
      <c r="AZ38" s="315"/>
      <c r="BC38" s="261"/>
      <c r="BD38" s="261"/>
      <c r="BE38" s="261"/>
      <c r="BF38" s="261"/>
      <c r="BJ38" s="285"/>
      <c r="BK38" s="285"/>
      <c r="BM38" s="261"/>
      <c r="BN38" s="261"/>
    </row>
    <row r="39" spans="2:66" ht="22.9" hidden="1" customHeight="1" x14ac:dyDescent="0.25">
      <c r="B39" s="21"/>
      <c r="C39" s="171"/>
      <c r="D39" s="171"/>
      <c r="E39" s="152"/>
      <c r="F39" s="171"/>
      <c r="G39" s="171"/>
      <c r="H39" s="22"/>
      <c r="I39" s="172"/>
      <c r="J39" s="172"/>
      <c r="K39" s="171"/>
      <c r="L39" s="172"/>
      <c r="M39" s="172"/>
      <c r="N39" s="172"/>
      <c r="O39" s="172"/>
      <c r="P39" s="23"/>
      <c r="Q39" s="23"/>
      <c r="R39" s="172"/>
      <c r="S39" s="172"/>
      <c r="T39" s="172"/>
      <c r="U39" s="172"/>
      <c r="V39" s="20"/>
      <c r="W39" s="24"/>
      <c r="X39" s="24"/>
      <c r="Y39" s="25"/>
      <c r="Z39" s="25"/>
      <c r="AA39" s="25"/>
      <c r="AB39" s="25"/>
      <c r="AC39" s="25"/>
      <c r="AD39" s="24"/>
      <c r="AE39" s="24"/>
      <c r="AF39" s="274"/>
      <c r="AG39" s="24"/>
      <c r="AH39" s="25"/>
      <c r="AI39" s="26"/>
      <c r="AJ39" s="25"/>
      <c r="AK39" s="31"/>
      <c r="AL39" s="24"/>
      <c r="AM39" s="24"/>
      <c r="AN39" s="24"/>
      <c r="AO39" s="24"/>
      <c r="AP39" s="27"/>
      <c r="AQ39" s="28"/>
      <c r="AR39" s="29"/>
      <c r="AS39" s="30"/>
      <c r="AV39" s="316"/>
      <c r="AW39" s="316"/>
      <c r="AX39" s="316"/>
      <c r="AY39" s="316"/>
      <c r="AZ39" s="315"/>
      <c r="BC39" s="261"/>
      <c r="BD39" s="261"/>
      <c r="BE39" s="261"/>
      <c r="BF39" s="261"/>
      <c r="BJ39" s="285"/>
      <c r="BK39" s="285"/>
      <c r="BM39" s="261"/>
      <c r="BN39" s="261"/>
    </row>
    <row r="40" spans="2:66" ht="22.9" hidden="1" customHeight="1" x14ac:dyDescent="0.25">
      <c r="B40" s="21"/>
      <c r="C40" s="171"/>
      <c r="D40" s="171"/>
      <c r="E40" s="152"/>
      <c r="F40" s="171"/>
      <c r="G40" s="171"/>
      <c r="H40" s="22"/>
      <c r="I40" s="172"/>
      <c r="J40" s="172"/>
      <c r="K40" s="171"/>
      <c r="L40" s="172"/>
      <c r="M40" s="172"/>
      <c r="N40" s="172"/>
      <c r="O40" s="172"/>
      <c r="P40" s="23"/>
      <c r="Q40" s="23"/>
      <c r="R40" s="172"/>
      <c r="S40" s="172"/>
      <c r="T40" s="172"/>
      <c r="U40" s="172"/>
      <c r="V40" s="20"/>
      <c r="W40" s="24"/>
      <c r="X40" s="24"/>
      <c r="Y40" s="25"/>
      <c r="Z40" s="25"/>
      <c r="AA40" s="25"/>
      <c r="AB40" s="25"/>
      <c r="AC40" s="25"/>
      <c r="AD40" s="24"/>
      <c r="AE40" s="24"/>
      <c r="AF40" s="274"/>
      <c r="AG40" s="24"/>
      <c r="AH40" s="25"/>
      <c r="AI40" s="26"/>
      <c r="AJ40" s="25"/>
      <c r="AK40" s="31"/>
      <c r="AL40" s="24"/>
      <c r="AM40" s="24"/>
      <c r="AN40" s="24"/>
      <c r="AO40" s="24"/>
      <c r="AP40" s="27"/>
      <c r="AQ40" s="28"/>
      <c r="AR40" s="29"/>
      <c r="AS40" s="30"/>
      <c r="AV40" s="316"/>
      <c r="AW40" s="316"/>
      <c r="AX40" s="316"/>
      <c r="AY40" s="316"/>
      <c r="AZ40" s="315"/>
      <c r="BC40" s="261"/>
      <c r="BD40" s="261"/>
      <c r="BE40" s="261"/>
      <c r="BF40" s="261"/>
      <c r="BJ40" s="285"/>
      <c r="BK40" s="285"/>
      <c r="BM40" s="261"/>
      <c r="BN40" s="261"/>
    </row>
    <row r="41" spans="2:66" ht="22.9" hidden="1" customHeight="1" x14ac:dyDescent="0.25">
      <c r="B41" s="21"/>
      <c r="C41" s="171"/>
      <c r="D41" s="171"/>
      <c r="E41" s="152"/>
      <c r="F41" s="171"/>
      <c r="G41" s="171"/>
      <c r="H41" s="22"/>
      <c r="I41" s="172"/>
      <c r="J41" s="172"/>
      <c r="K41" s="171"/>
      <c r="L41" s="172"/>
      <c r="M41" s="172"/>
      <c r="N41" s="172"/>
      <c r="O41" s="172"/>
      <c r="P41" s="23"/>
      <c r="Q41" s="23"/>
      <c r="R41" s="172"/>
      <c r="S41" s="172"/>
      <c r="T41" s="172"/>
      <c r="U41" s="172"/>
      <c r="V41" s="20"/>
      <c r="W41" s="24"/>
      <c r="X41" s="24"/>
      <c r="Y41" s="25"/>
      <c r="Z41" s="25"/>
      <c r="AA41" s="25"/>
      <c r="AB41" s="25"/>
      <c r="AC41" s="25"/>
      <c r="AD41" s="24"/>
      <c r="AE41" s="24"/>
      <c r="AF41" s="274"/>
      <c r="AG41" s="24"/>
      <c r="AH41" s="25"/>
      <c r="AI41" s="26"/>
      <c r="AJ41" s="25"/>
      <c r="AK41" s="31"/>
      <c r="AL41" s="24"/>
      <c r="AM41" s="24"/>
      <c r="AN41" s="24"/>
      <c r="AO41" s="24"/>
      <c r="AP41" s="27"/>
      <c r="AQ41" s="28"/>
      <c r="AR41" s="29"/>
      <c r="AS41" s="30"/>
      <c r="AV41" s="316"/>
      <c r="AW41" s="316"/>
      <c r="AX41" s="316"/>
      <c r="AY41" s="316"/>
      <c r="AZ41" s="315"/>
      <c r="BC41" s="261"/>
      <c r="BD41" s="261"/>
      <c r="BE41" s="261"/>
      <c r="BF41" s="261"/>
      <c r="BJ41" s="285"/>
      <c r="BK41" s="285"/>
      <c r="BM41" s="261"/>
      <c r="BN41" s="261"/>
    </row>
    <row r="42" spans="2:66" ht="22.9" hidden="1" customHeight="1" x14ac:dyDescent="0.25">
      <c r="B42" s="21"/>
      <c r="C42" s="171"/>
      <c r="D42" s="171"/>
      <c r="E42" s="152"/>
      <c r="F42" s="171"/>
      <c r="G42" s="171"/>
      <c r="H42" s="22"/>
      <c r="I42" s="172"/>
      <c r="J42" s="172"/>
      <c r="K42" s="171"/>
      <c r="L42" s="172"/>
      <c r="M42" s="172"/>
      <c r="N42" s="172"/>
      <c r="O42" s="172"/>
      <c r="P42" s="23"/>
      <c r="Q42" s="23"/>
      <c r="R42" s="172"/>
      <c r="S42" s="172"/>
      <c r="T42" s="172"/>
      <c r="U42" s="172"/>
      <c r="V42" s="20"/>
      <c r="W42" s="24"/>
      <c r="X42" s="24"/>
      <c r="Y42" s="25"/>
      <c r="Z42" s="25"/>
      <c r="AA42" s="25"/>
      <c r="AB42" s="25"/>
      <c r="AC42" s="25"/>
      <c r="AD42" s="24"/>
      <c r="AE42" s="24"/>
      <c r="AF42" s="24"/>
      <c r="AG42" s="24"/>
      <c r="AH42" s="25"/>
      <c r="AI42" s="26"/>
      <c r="AJ42" s="25"/>
      <c r="AK42" s="31"/>
      <c r="AL42" s="24"/>
      <c r="AM42" s="24"/>
      <c r="AN42" s="24"/>
      <c r="AO42" s="24"/>
      <c r="AP42" s="27"/>
      <c r="AQ42" s="28"/>
      <c r="AR42" s="29"/>
      <c r="AS42" s="30"/>
      <c r="AV42" s="316"/>
      <c r="AW42" s="316"/>
      <c r="AX42" s="316"/>
      <c r="AY42" s="316"/>
      <c r="AZ42" s="315"/>
      <c r="BC42" s="261"/>
      <c r="BD42" s="261"/>
      <c r="BE42" s="261"/>
      <c r="BF42" s="261"/>
      <c r="BJ42" s="285">
        <f t="shared" ref="BJ42:BJ105" si="6">+IF(((R42+S42)/2)&lt;3.5,AJ42,0)</f>
        <v>0</v>
      </c>
      <c r="BK42" s="285">
        <f t="shared" ref="BK42:BK105" si="7">+IF(((R42+S42)/2)&gt;3.5,AJ42,0)</f>
        <v>0</v>
      </c>
      <c r="BM42" s="261">
        <f t="shared" ref="BM42:BM105" si="8">+IF(((R42+S42)/2)&lt;4.5,AS42,0)</f>
        <v>0</v>
      </c>
      <c r="BN42" s="261">
        <f t="shared" ref="BN42:BN105" si="9">+IF(((R42+S42)/2)&gt;4.5,AS42,0)</f>
        <v>0</v>
      </c>
    </row>
    <row r="43" spans="2:66" ht="22.9" hidden="1" customHeight="1" x14ac:dyDescent="0.25">
      <c r="B43" s="21"/>
      <c r="C43" s="171"/>
      <c r="D43" s="171"/>
      <c r="E43" s="152"/>
      <c r="F43" s="171"/>
      <c r="G43" s="171"/>
      <c r="H43" s="22"/>
      <c r="I43" s="172"/>
      <c r="J43" s="172"/>
      <c r="K43" s="171"/>
      <c r="L43" s="172"/>
      <c r="M43" s="172"/>
      <c r="N43" s="172"/>
      <c r="O43" s="172"/>
      <c r="P43" s="23"/>
      <c r="Q43" s="23"/>
      <c r="R43" s="172"/>
      <c r="S43" s="172"/>
      <c r="T43" s="172"/>
      <c r="U43" s="172"/>
      <c r="V43" s="20"/>
      <c r="W43" s="24"/>
      <c r="X43" s="24"/>
      <c r="Y43" s="25"/>
      <c r="Z43" s="25"/>
      <c r="AA43" s="25"/>
      <c r="AB43" s="25"/>
      <c r="AC43" s="25"/>
      <c r="AD43" s="24"/>
      <c r="AE43" s="24"/>
      <c r="AF43" s="24"/>
      <c r="AG43" s="24"/>
      <c r="AH43" s="25"/>
      <c r="AI43" s="26"/>
      <c r="AJ43" s="25"/>
      <c r="AK43" s="31"/>
      <c r="AL43" s="24"/>
      <c r="AM43" s="24"/>
      <c r="AN43" s="24"/>
      <c r="AO43" s="24"/>
      <c r="AP43" s="27"/>
      <c r="AQ43" s="28"/>
      <c r="AR43" s="29"/>
      <c r="AS43" s="30"/>
      <c r="AV43" s="316"/>
      <c r="AW43" s="316"/>
      <c r="AX43" s="316"/>
      <c r="AY43" s="316"/>
      <c r="AZ43" s="315"/>
      <c r="BC43" s="261"/>
      <c r="BD43" s="261"/>
      <c r="BE43" s="261"/>
      <c r="BF43" s="261"/>
      <c r="BJ43" s="285">
        <f t="shared" si="6"/>
        <v>0</v>
      </c>
      <c r="BK43" s="285">
        <f t="shared" si="7"/>
        <v>0</v>
      </c>
      <c r="BM43" s="261">
        <f t="shared" si="8"/>
        <v>0</v>
      </c>
      <c r="BN43" s="261">
        <f t="shared" si="9"/>
        <v>0</v>
      </c>
    </row>
    <row r="44" spans="2:66" ht="22.9" hidden="1" customHeight="1" x14ac:dyDescent="0.25">
      <c r="B44" s="21"/>
      <c r="C44" s="171"/>
      <c r="D44" s="171"/>
      <c r="E44" s="152"/>
      <c r="F44" s="171"/>
      <c r="G44" s="171"/>
      <c r="H44" s="22"/>
      <c r="I44" s="172"/>
      <c r="J44" s="172"/>
      <c r="K44" s="171"/>
      <c r="L44" s="172"/>
      <c r="M44" s="172"/>
      <c r="N44" s="172"/>
      <c r="O44" s="172"/>
      <c r="P44" s="23"/>
      <c r="Q44" s="23"/>
      <c r="R44" s="172"/>
      <c r="S44" s="172"/>
      <c r="T44" s="172"/>
      <c r="U44" s="172"/>
      <c r="V44" s="20"/>
      <c r="W44" s="24"/>
      <c r="X44" s="24"/>
      <c r="Y44" s="25"/>
      <c r="Z44" s="25"/>
      <c r="AA44" s="25"/>
      <c r="AB44" s="25"/>
      <c r="AC44" s="25"/>
      <c r="AD44" s="24"/>
      <c r="AE44" s="24"/>
      <c r="AF44" s="24"/>
      <c r="AG44" s="24"/>
      <c r="AH44" s="25"/>
      <c r="AI44" s="26"/>
      <c r="AJ44" s="25"/>
      <c r="AK44" s="31"/>
      <c r="AL44" s="24"/>
      <c r="AM44" s="24"/>
      <c r="AN44" s="24"/>
      <c r="AO44" s="24"/>
      <c r="AP44" s="27"/>
      <c r="AQ44" s="28"/>
      <c r="AR44" s="29"/>
      <c r="AS44" s="30"/>
      <c r="AV44" s="316"/>
      <c r="AW44" s="316"/>
      <c r="AX44" s="316"/>
      <c r="AY44" s="316"/>
      <c r="AZ44" s="315"/>
      <c r="BC44" s="261"/>
      <c r="BD44" s="261"/>
      <c r="BE44" s="261"/>
      <c r="BF44" s="261"/>
      <c r="BJ44" s="285">
        <f t="shared" si="6"/>
        <v>0</v>
      </c>
      <c r="BK44" s="285">
        <f t="shared" si="7"/>
        <v>0</v>
      </c>
      <c r="BM44" s="261">
        <f t="shared" si="8"/>
        <v>0</v>
      </c>
      <c r="BN44" s="261">
        <f t="shared" si="9"/>
        <v>0</v>
      </c>
    </row>
    <row r="45" spans="2:66" ht="22.9" hidden="1" customHeight="1" x14ac:dyDescent="0.25">
      <c r="B45" s="21"/>
      <c r="C45" s="171"/>
      <c r="D45" s="171"/>
      <c r="E45" s="152"/>
      <c r="F45" s="171"/>
      <c r="G45" s="171"/>
      <c r="H45" s="22"/>
      <c r="I45" s="172"/>
      <c r="J45" s="172"/>
      <c r="K45" s="171"/>
      <c r="L45" s="172"/>
      <c r="M45" s="172"/>
      <c r="N45" s="172"/>
      <c r="O45" s="172"/>
      <c r="P45" s="23"/>
      <c r="Q45" s="23"/>
      <c r="R45" s="172"/>
      <c r="S45" s="172"/>
      <c r="T45" s="172"/>
      <c r="U45" s="172"/>
      <c r="V45" s="20"/>
      <c r="W45" s="24"/>
      <c r="X45" s="24"/>
      <c r="Y45" s="25"/>
      <c r="Z45" s="25"/>
      <c r="AA45" s="25"/>
      <c r="AB45" s="25"/>
      <c r="AC45" s="25"/>
      <c r="AD45" s="24"/>
      <c r="AE45" s="24"/>
      <c r="AF45" s="24"/>
      <c r="AG45" s="24"/>
      <c r="AH45" s="25"/>
      <c r="AI45" s="26"/>
      <c r="AJ45" s="25"/>
      <c r="AK45" s="31"/>
      <c r="AL45" s="24"/>
      <c r="AM45" s="24"/>
      <c r="AN45" s="24"/>
      <c r="AO45" s="24"/>
      <c r="AP45" s="27"/>
      <c r="AQ45" s="28"/>
      <c r="AR45" s="29"/>
      <c r="AS45" s="30"/>
      <c r="AV45" s="316"/>
      <c r="AW45" s="316"/>
      <c r="AX45" s="316"/>
      <c r="AY45" s="316"/>
      <c r="AZ45" s="315"/>
      <c r="BC45" s="261"/>
      <c r="BD45" s="261"/>
      <c r="BE45" s="261"/>
      <c r="BF45" s="261"/>
      <c r="BJ45" s="285">
        <f t="shared" si="6"/>
        <v>0</v>
      </c>
      <c r="BK45" s="285">
        <f t="shared" si="7"/>
        <v>0</v>
      </c>
      <c r="BM45" s="261">
        <f t="shared" si="8"/>
        <v>0</v>
      </c>
      <c r="BN45" s="261">
        <f t="shared" si="9"/>
        <v>0</v>
      </c>
    </row>
    <row r="46" spans="2:66" ht="22.9" hidden="1" customHeight="1" x14ac:dyDescent="0.25">
      <c r="B46" s="21"/>
      <c r="C46" s="171"/>
      <c r="D46" s="171"/>
      <c r="E46" s="152"/>
      <c r="F46" s="171"/>
      <c r="G46" s="171"/>
      <c r="H46" s="22"/>
      <c r="I46" s="172"/>
      <c r="J46" s="172"/>
      <c r="K46" s="171"/>
      <c r="L46" s="172"/>
      <c r="M46" s="172"/>
      <c r="N46" s="172"/>
      <c r="O46" s="172"/>
      <c r="P46" s="23"/>
      <c r="Q46" s="23"/>
      <c r="R46" s="172"/>
      <c r="S46" s="172"/>
      <c r="T46" s="172"/>
      <c r="U46" s="172"/>
      <c r="V46" s="20"/>
      <c r="W46" s="24"/>
      <c r="X46" s="24"/>
      <c r="Y46" s="25"/>
      <c r="Z46" s="25"/>
      <c r="AA46" s="25"/>
      <c r="AB46" s="25"/>
      <c r="AC46" s="25"/>
      <c r="AD46" s="24"/>
      <c r="AE46" s="24"/>
      <c r="AF46" s="24"/>
      <c r="AG46" s="24"/>
      <c r="AH46" s="25"/>
      <c r="AI46" s="26"/>
      <c r="AJ46" s="25"/>
      <c r="AK46" s="31"/>
      <c r="AL46" s="24"/>
      <c r="AM46" s="24"/>
      <c r="AN46" s="24"/>
      <c r="AO46" s="24"/>
      <c r="AP46" s="27"/>
      <c r="AQ46" s="28"/>
      <c r="AR46" s="29"/>
      <c r="AS46" s="30"/>
      <c r="AV46" s="316"/>
      <c r="AW46" s="316"/>
      <c r="AX46" s="316"/>
      <c r="AY46" s="316"/>
      <c r="AZ46" s="315"/>
      <c r="BC46" s="261"/>
      <c r="BD46" s="261"/>
      <c r="BE46" s="261"/>
      <c r="BF46" s="261"/>
      <c r="BJ46" s="285">
        <f t="shared" si="6"/>
        <v>0</v>
      </c>
      <c r="BK46" s="285">
        <f t="shared" si="7"/>
        <v>0</v>
      </c>
      <c r="BM46" s="261">
        <f t="shared" si="8"/>
        <v>0</v>
      </c>
      <c r="BN46" s="261">
        <f t="shared" si="9"/>
        <v>0</v>
      </c>
    </row>
    <row r="47" spans="2:66" ht="22.9" hidden="1" customHeight="1" x14ac:dyDescent="0.25">
      <c r="B47" s="21"/>
      <c r="C47" s="171"/>
      <c r="D47" s="171"/>
      <c r="E47" s="152"/>
      <c r="F47" s="171"/>
      <c r="G47" s="171"/>
      <c r="H47" s="22"/>
      <c r="I47" s="172"/>
      <c r="J47" s="172"/>
      <c r="K47" s="171"/>
      <c r="L47" s="172"/>
      <c r="M47" s="172"/>
      <c r="N47" s="172"/>
      <c r="O47" s="172"/>
      <c r="P47" s="23"/>
      <c r="Q47" s="23"/>
      <c r="R47" s="172"/>
      <c r="S47" s="172"/>
      <c r="T47" s="172"/>
      <c r="U47" s="172"/>
      <c r="V47" s="20"/>
      <c r="W47" s="24"/>
      <c r="X47" s="24"/>
      <c r="Y47" s="25"/>
      <c r="Z47" s="25"/>
      <c r="AA47" s="25"/>
      <c r="AB47" s="25"/>
      <c r="AC47" s="25"/>
      <c r="AD47" s="24"/>
      <c r="AE47" s="24"/>
      <c r="AF47" s="24"/>
      <c r="AG47" s="24"/>
      <c r="AH47" s="25"/>
      <c r="AI47" s="26"/>
      <c r="AJ47" s="25"/>
      <c r="AK47" s="31"/>
      <c r="AL47" s="24"/>
      <c r="AM47" s="24"/>
      <c r="AN47" s="24"/>
      <c r="AO47" s="24"/>
      <c r="AP47" s="27"/>
      <c r="AQ47" s="28"/>
      <c r="AR47" s="29"/>
      <c r="AS47" s="30"/>
      <c r="AV47" s="316"/>
      <c r="AW47" s="316"/>
      <c r="AX47" s="316"/>
      <c r="AY47" s="316"/>
      <c r="AZ47" s="315"/>
      <c r="BC47" s="261"/>
      <c r="BD47" s="261"/>
      <c r="BE47" s="261"/>
      <c r="BF47" s="261"/>
      <c r="BJ47" s="285">
        <f t="shared" si="6"/>
        <v>0</v>
      </c>
      <c r="BK47" s="285">
        <f t="shared" si="7"/>
        <v>0</v>
      </c>
      <c r="BM47" s="261">
        <f t="shared" si="8"/>
        <v>0</v>
      </c>
      <c r="BN47" s="261">
        <f t="shared" si="9"/>
        <v>0</v>
      </c>
    </row>
    <row r="48" spans="2:66" ht="22.9" hidden="1" customHeight="1" x14ac:dyDescent="0.25">
      <c r="B48" s="21"/>
      <c r="C48" s="171"/>
      <c r="D48" s="171"/>
      <c r="E48" s="152"/>
      <c r="F48" s="171"/>
      <c r="G48" s="171"/>
      <c r="H48" s="22"/>
      <c r="I48" s="172"/>
      <c r="J48" s="172"/>
      <c r="K48" s="171"/>
      <c r="L48" s="172"/>
      <c r="M48" s="172"/>
      <c r="N48" s="172"/>
      <c r="O48" s="172"/>
      <c r="P48" s="23"/>
      <c r="Q48" s="23"/>
      <c r="R48" s="172"/>
      <c r="S48" s="172"/>
      <c r="T48" s="172"/>
      <c r="U48" s="172"/>
      <c r="V48" s="20"/>
      <c r="W48" s="24"/>
      <c r="X48" s="24"/>
      <c r="Y48" s="25"/>
      <c r="Z48" s="25"/>
      <c r="AA48" s="25"/>
      <c r="AB48" s="25"/>
      <c r="AC48" s="25"/>
      <c r="AD48" s="24"/>
      <c r="AE48" s="24"/>
      <c r="AF48" s="24"/>
      <c r="AG48" s="24"/>
      <c r="AH48" s="25"/>
      <c r="AI48" s="26"/>
      <c r="AJ48" s="25"/>
      <c r="AK48" s="31"/>
      <c r="AL48" s="24"/>
      <c r="AM48" s="24"/>
      <c r="AN48" s="24"/>
      <c r="AO48" s="24"/>
      <c r="AP48" s="27"/>
      <c r="AQ48" s="28"/>
      <c r="AR48" s="29"/>
      <c r="AS48" s="30"/>
      <c r="AV48" s="316"/>
      <c r="AW48" s="316"/>
      <c r="AX48" s="316"/>
      <c r="AY48" s="316"/>
      <c r="AZ48" s="315"/>
      <c r="BC48" s="261"/>
      <c r="BD48" s="261"/>
      <c r="BE48" s="261"/>
      <c r="BF48" s="261"/>
      <c r="BJ48" s="285">
        <f t="shared" si="6"/>
        <v>0</v>
      </c>
      <c r="BK48" s="285">
        <f t="shared" si="7"/>
        <v>0</v>
      </c>
      <c r="BM48" s="261">
        <f t="shared" si="8"/>
        <v>0</v>
      </c>
      <c r="BN48" s="261">
        <f t="shared" si="9"/>
        <v>0</v>
      </c>
    </row>
    <row r="49" spans="2:66" ht="22.9" hidden="1" customHeight="1" x14ac:dyDescent="0.25">
      <c r="B49" s="21"/>
      <c r="C49" s="171"/>
      <c r="D49" s="171"/>
      <c r="E49" s="152"/>
      <c r="F49" s="171"/>
      <c r="G49" s="171"/>
      <c r="H49" s="22"/>
      <c r="I49" s="172"/>
      <c r="J49" s="172"/>
      <c r="K49" s="171"/>
      <c r="L49" s="172"/>
      <c r="M49" s="172"/>
      <c r="N49" s="172"/>
      <c r="O49" s="172"/>
      <c r="P49" s="23"/>
      <c r="Q49" s="23"/>
      <c r="R49" s="172"/>
      <c r="S49" s="172"/>
      <c r="T49" s="172"/>
      <c r="U49" s="172"/>
      <c r="V49" s="20"/>
      <c r="W49" s="24"/>
      <c r="X49" s="24"/>
      <c r="Y49" s="25"/>
      <c r="Z49" s="25"/>
      <c r="AA49" s="25"/>
      <c r="AB49" s="25"/>
      <c r="AC49" s="25"/>
      <c r="AD49" s="24"/>
      <c r="AE49" s="24"/>
      <c r="AF49" s="24"/>
      <c r="AG49" s="24"/>
      <c r="AH49" s="25"/>
      <c r="AI49" s="26"/>
      <c r="AJ49" s="25"/>
      <c r="AK49" s="31"/>
      <c r="AL49" s="24"/>
      <c r="AM49" s="24"/>
      <c r="AN49" s="24"/>
      <c r="AO49" s="24"/>
      <c r="AP49" s="27"/>
      <c r="AQ49" s="28"/>
      <c r="AR49" s="29"/>
      <c r="AS49" s="30"/>
      <c r="AV49" s="316"/>
      <c r="AW49" s="316"/>
      <c r="AX49" s="316"/>
      <c r="AY49" s="316"/>
      <c r="AZ49" s="315"/>
      <c r="BC49" s="261"/>
      <c r="BD49" s="261"/>
      <c r="BE49" s="261"/>
      <c r="BF49" s="261"/>
      <c r="BJ49" s="285">
        <f t="shared" si="6"/>
        <v>0</v>
      </c>
      <c r="BK49" s="285">
        <f t="shared" si="7"/>
        <v>0</v>
      </c>
      <c r="BM49" s="261">
        <f t="shared" si="8"/>
        <v>0</v>
      </c>
      <c r="BN49" s="261">
        <f t="shared" si="9"/>
        <v>0</v>
      </c>
    </row>
    <row r="50" spans="2:66" ht="22.9" hidden="1" customHeight="1" x14ac:dyDescent="0.25">
      <c r="B50" s="21"/>
      <c r="C50" s="171"/>
      <c r="D50" s="171"/>
      <c r="E50" s="152"/>
      <c r="F50" s="171"/>
      <c r="G50" s="171"/>
      <c r="H50" s="22"/>
      <c r="I50" s="172"/>
      <c r="J50" s="172"/>
      <c r="K50" s="171"/>
      <c r="L50" s="172"/>
      <c r="M50" s="172"/>
      <c r="N50" s="172"/>
      <c r="O50" s="172"/>
      <c r="P50" s="23"/>
      <c r="Q50" s="23"/>
      <c r="R50" s="172"/>
      <c r="S50" s="172"/>
      <c r="T50" s="172"/>
      <c r="U50" s="172"/>
      <c r="V50" s="20"/>
      <c r="W50" s="24"/>
      <c r="X50" s="24"/>
      <c r="Y50" s="25"/>
      <c r="Z50" s="25"/>
      <c r="AA50" s="25"/>
      <c r="AB50" s="25"/>
      <c r="AC50" s="25"/>
      <c r="AD50" s="24"/>
      <c r="AE50" s="24"/>
      <c r="AF50" s="24"/>
      <c r="AG50" s="24"/>
      <c r="AH50" s="25"/>
      <c r="AI50" s="26"/>
      <c r="AJ50" s="25"/>
      <c r="AK50" s="31"/>
      <c r="AL50" s="24"/>
      <c r="AM50" s="24"/>
      <c r="AN50" s="24"/>
      <c r="AO50" s="24"/>
      <c r="AP50" s="27"/>
      <c r="AQ50" s="28"/>
      <c r="AR50" s="29"/>
      <c r="AS50" s="30"/>
      <c r="AV50" s="316"/>
      <c r="AW50" s="316"/>
      <c r="AX50" s="316"/>
      <c r="AY50" s="316"/>
      <c r="AZ50" s="315"/>
      <c r="BC50" s="261"/>
      <c r="BD50" s="261"/>
      <c r="BE50" s="261"/>
      <c r="BF50" s="261"/>
      <c r="BJ50" s="285">
        <f t="shared" si="6"/>
        <v>0</v>
      </c>
      <c r="BK50" s="285">
        <f t="shared" si="7"/>
        <v>0</v>
      </c>
      <c r="BM50" s="261">
        <f t="shared" si="8"/>
        <v>0</v>
      </c>
      <c r="BN50" s="261">
        <f t="shared" si="9"/>
        <v>0</v>
      </c>
    </row>
    <row r="51" spans="2:66" ht="22.9" hidden="1" customHeight="1" x14ac:dyDescent="0.25">
      <c r="B51" s="21"/>
      <c r="C51" s="171"/>
      <c r="D51" s="171"/>
      <c r="E51" s="152"/>
      <c r="F51" s="171"/>
      <c r="G51" s="171"/>
      <c r="H51" s="22"/>
      <c r="I51" s="172"/>
      <c r="J51" s="172"/>
      <c r="K51" s="171"/>
      <c r="L51" s="172"/>
      <c r="M51" s="172"/>
      <c r="N51" s="172"/>
      <c r="O51" s="172"/>
      <c r="P51" s="23"/>
      <c r="Q51" s="23"/>
      <c r="R51" s="172"/>
      <c r="S51" s="172"/>
      <c r="T51" s="172"/>
      <c r="U51" s="172"/>
      <c r="V51" s="20"/>
      <c r="W51" s="24"/>
      <c r="X51" s="24"/>
      <c r="Y51" s="25"/>
      <c r="Z51" s="25"/>
      <c r="AA51" s="25"/>
      <c r="AB51" s="25"/>
      <c r="AC51" s="25"/>
      <c r="AD51" s="24"/>
      <c r="AE51" s="24"/>
      <c r="AF51" s="24"/>
      <c r="AG51" s="24"/>
      <c r="AH51" s="25"/>
      <c r="AI51" s="26"/>
      <c r="AJ51" s="25"/>
      <c r="AK51" s="31"/>
      <c r="AL51" s="24"/>
      <c r="AM51" s="24"/>
      <c r="AN51" s="24"/>
      <c r="AO51" s="24"/>
      <c r="AP51" s="27"/>
      <c r="AQ51" s="28"/>
      <c r="AR51" s="29"/>
      <c r="AS51" s="30"/>
      <c r="AV51" s="316"/>
      <c r="AW51" s="316"/>
      <c r="AX51" s="316"/>
      <c r="AY51" s="316"/>
      <c r="AZ51" s="315"/>
      <c r="BC51" s="261"/>
      <c r="BD51" s="261"/>
      <c r="BE51" s="261"/>
      <c r="BF51" s="261"/>
      <c r="BJ51" s="285">
        <f t="shared" si="6"/>
        <v>0</v>
      </c>
      <c r="BK51" s="285">
        <f t="shared" si="7"/>
        <v>0</v>
      </c>
      <c r="BM51" s="261">
        <f t="shared" si="8"/>
        <v>0</v>
      </c>
      <c r="BN51" s="261">
        <f t="shared" si="9"/>
        <v>0</v>
      </c>
    </row>
    <row r="52" spans="2:66" ht="22.9" hidden="1" customHeight="1" x14ac:dyDescent="0.25">
      <c r="B52" s="21"/>
      <c r="C52" s="171"/>
      <c r="D52" s="171"/>
      <c r="E52" s="152"/>
      <c r="F52" s="171"/>
      <c r="G52" s="171"/>
      <c r="H52" s="22"/>
      <c r="I52" s="172"/>
      <c r="J52" s="172"/>
      <c r="K52" s="171"/>
      <c r="L52" s="172"/>
      <c r="M52" s="172"/>
      <c r="N52" s="172"/>
      <c r="O52" s="172"/>
      <c r="P52" s="23"/>
      <c r="Q52" s="23"/>
      <c r="R52" s="172"/>
      <c r="S52" s="172"/>
      <c r="T52" s="172"/>
      <c r="U52" s="172"/>
      <c r="V52" s="20"/>
      <c r="W52" s="24"/>
      <c r="X52" s="24"/>
      <c r="Y52" s="25"/>
      <c r="Z52" s="25"/>
      <c r="AA52" s="25"/>
      <c r="AB52" s="25"/>
      <c r="AC52" s="25"/>
      <c r="AD52" s="24"/>
      <c r="AE52" s="24"/>
      <c r="AF52" s="24"/>
      <c r="AG52" s="24"/>
      <c r="AH52" s="25"/>
      <c r="AI52" s="26"/>
      <c r="AJ52" s="25"/>
      <c r="AK52" s="31"/>
      <c r="AL52" s="24"/>
      <c r="AM52" s="24"/>
      <c r="AN52" s="24"/>
      <c r="AO52" s="24"/>
      <c r="AP52" s="27"/>
      <c r="AQ52" s="28"/>
      <c r="AR52" s="29"/>
      <c r="AS52" s="30"/>
      <c r="AV52" s="316"/>
      <c r="AW52" s="316"/>
      <c r="AX52" s="316"/>
      <c r="AY52" s="316"/>
      <c r="AZ52" s="315"/>
      <c r="BC52" s="261"/>
      <c r="BD52" s="261"/>
      <c r="BE52" s="261"/>
      <c r="BF52" s="261"/>
      <c r="BJ52" s="285">
        <f t="shared" si="6"/>
        <v>0</v>
      </c>
      <c r="BK52" s="285">
        <f t="shared" si="7"/>
        <v>0</v>
      </c>
      <c r="BM52" s="261">
        <f t="shared" si="8"/>
        <v>0</v>
      </c>
      <c r="BN52" s="261">
        <f t="shared" si="9"/>
        <v>0</v>
      </c>
    </row>
    <row r="53" spans="2:66" ht="22.9" hidden="1" customHeight="1" x14ac:dyDescent="0.25">
      <c r="B53" s="21"/>
      <c r="C53" s="171"/>
      <c r="D53" s="171"/>
      <c r="E53" s="152"/>
      <c r="F53" s="171"/>
      <c r="G53" s="171"/>
      <c r="H53" s="22"/>
      <c r="I53" s="172"/>
      <c r="J53" s="172"/>
      <c r="K53" s="171"/>
      <c r="L53" s="172"/>
      <c r="M53" s="172"/>
      <c r="N53" s="172"/>
      <c r="O53" s="172"/>
      <c r="P53" s="23"/>
      <c r="Q53" s="23"/>
      <c r="R53" s="172"/>
      <c r="S53" s="172"/>
      <c r="T53" s="172"/>
      <c r="U53" s="172"/>
      <c r="V53" s="20"/>
      <c r="W53" s="24"/>
      <c r="X53" s="24"/>
      <c r="Y53" s="25"/>
      <c r="Z53" s="25"/>
      <c r="AA53" s="25"/>
      <c r="AB53" s="25"/>
      <c r="AC53" s="25"/>
      <c r="AD53" s="24"/>
      <c r="AE53" s="24"/>
      <c r="AF53" s="24"/>
      <c r="AG53" s="24"/>
      <c r="AH53" s="25"/>
      <c r="AI53" s="26"/>
      <c r="AJ53" s="25"/>
      <c r="AK53" s="31"/>
      <c r="AL53" s="24"/>
      <c r="AM53" s="24"/>
      <c r="AN53" s="24"/>
      <c r="AO53" s="24"/>
      <c r="AP53" s="27"/>
      <c r="AQ53" s="28"/>
      <c r="AR53" s="29"/>
      <c r="AS53" s="30"/>
      <c r="AV53" s="316"/>
      <c r="AW53" s="316"/>
      <c r="AX53" s="316"/>
      <c r="AY53" s="316"/>
      <c r="AZ53" s="315"/>
      <c r="BC53" s="261"/>
      <c r="BD53" s="261"/>
      <c r="BE53" s="261"/>
      <c r="BF53" s="261"/>
      <c r="BJ53" s="285">
        <f t="shared" si="6"/>
        <v>0</v>
      </c>
      <c r="BK53" s="285">
        <f t="shared" si="7"/>
        <v>0</v>
      </c>
      <c r="BM53" s="261">
        <f t="shared" si="8"/>
        <v>0</v>
      </c>
      <c r="BN53" s="261">
        <f t="shared" si="9"/>
        <v>0</v>
      </c>
    </row>
    <row r="54" spans="2:66" ht="22.9" hidden="1" customHeight="1" x14ac:dyDescent="0.25">
      <c r="B54" s="21"/>
      <c r="C54" s="171"/>
      <c r="D54" s="171"/>
      <c r="E54" s="152"/>
      <c r="F54" s="171"/>
      <c r="G54" s="171"/>
      <c r="H54" s="22"/>
      <c r="I54" s="172"/>
      <c r="J54" s="172"/>
      <c r="K54" s="171"/>
      <c r="L54" s="172"/>
      <c r="M54" s="172"/>
      <c r="N54" s="172"/>
      <c r="O54" s="172"/>
      <c r="P54" s="23"/>
      <c r="Q54" s="23"/>
      <c r="R54" s="172"/>
      <c r="S54" s="172"/>
      <c r="T54" s="172"/>
      <c r="U54" s="172"/>
      <c r="V54" s="20"/>
      <c r="W54" s="24"/>
      <c r="X54" s="24"/>
      <c r="Y54" s="25"/>
      <c r="Z54" s="25"/>
      <c r="AA54" s="25"/>
      <c r="AB54" s="25"/>
      <c r="AC54" s="25"/>
      <c r="AD54" s="24"/>
      <c r="AE54" s="24"/>
      <c r="AF54" s="24"/>
      <c r="AG54" s="24"/>
      <c r="AH54" s="25"/>
      <c r="AI54" s="26"/>
      <c r="AJ54" s="25"/>
      <c r="AK54" s="31"/>
      <c r="AL54" s="24"/>
      <c r="AM54" s="24"/>
      <c r="AN54" s="24"/>
      <c r="AO54" s="24"/>
      <c r="AP54" s="27"/>
      <c r="AQ54" s="28"/>
      <c r="AR54" s="29"/>
      <c r="AS54" s="30"/>
      <c r="AV54" s="316"/>
      <c r="AW54" s="316"/>
      <c r="AX54" s="316"/>
      <c r="AY54" s="316"/>
      <c r="AZ54" s="315"/>
      <c r="BC54" s="261"/>
      <c r="BD54" s="261"/>
      <c r="BE54" s="261"/>
      <c r="BF54" s="261"/>
      <c r="BJ54" s="285">
        <f t="shared" si="6"/>
        <v>0</v>
      </c>
      <c r="BK54" s="285">
        <f t="shared" si="7"/>
        <v>0</v>
      </c>
      <c r="BM54" s="261">
        <f t="shared" si="8"/>
        <v>0</v>
      </c>
      <c r="BN54" s="261">
        <f t="shared" si="9"/>
        <v>0</v>
      </c>
    </row>
    <row r="55" spans="2:66" ht="22.9" hidden="1" customHeight="1" x14ac:dyDescent="0.25">
      <c r="B55" s="21"/>
      <c r="C55" s="171"/>
      <c r="D55" s="171"/>
      <c r="E55" s="152"/>
      <c r="F55" s="171"/>
      <c r="G55" s="171"/>
      <c r="H55" s="22"/>
      <c r="I55" s="172"/>
      <c r="J55" s="172"/>
      <c r="K55" s="171"/>
      <c r="L55" s="172"/>
      <c r="M55" s="172"/>
      <c r="N55" s="172"/>
      <c r="O55" s="172"/>
      <c r="P55" s="23"/>
      <c r="Q55" s="23"/>
      <c r="R55" s="172"/>
      <c r="S55" s="172"/>
      <c r="T55" s="172"/>
      <c r="U55" s="172"/>
      <c r="V55" s="20"/>
      <c r="W55" s="24"/>
      <c r="X55" s="24"/>
      <c r="Y55" s="25"/>
      <c r="Z55" s="25"/>
      <c r="AA55" s="25"/>
      <c r="AB55" s="25"/>
      <c r="AC55" s="25"/>
      <c r="AD55" s="24"/>
      <c r="AE55" s="24"/>
      <c r="AF55" s="24"/>
      <c r="AG55" s="24"/>
      <c r="AH55" s="25"/>
      <c r="AI55" s="26"/>
      <c r="AJ55" s="25"/>
      <c r="AK55" s="31"/>
      <c r="AL55" s="24"/>
      <c r="AM55" s="24"/>
      <c r="AN55" s="24"/>
      <c r="AO55" s="24"/>
      <c r="AP55" s="27"/>
      <c r="AQ55" s="28"/>
      <c r="AR55" s="29"/>
      <c r="AS55" s="30"/>
      <c r="AV55" s="316"/>
      <c r="AW55" s="316"/>
      <c r="AX55" s="316"/>
      <c r="AY55" s="316"/>
      <c r="AZ55" s="315"/>
      <c r="BC55" s="261"/>
      <c r="BD55" s="261"/>
      <c r="BE55" s="261"/>
      <c r="BF55" s="261"/>
      <c r="BJ55" s="285">
        <f t="shared" si="6"/>
        <v>0</v>
      </c>
      <c r="BK55" s="285">
        <f t="shared" si="7"/>
        <v>0</v>
      </c>
      <c r="BM55" s="261">
        <f t="shared" si="8"/>
        <v>0</v>
      </c>
      <c r="BN55" s="261">
        <f t="shared" si="9"/>
        <v>0</v>
      </c>
    </row>
    <row r="56" spans="2:66" ht="22.9" hidden="1" customHeight="1" x14ac:dyDescent="0.25">
      <c r="B56" s="21"/>
      <c r="C56" s="171"/>
      <c r="D56" s="171"/>
      <c r="E56" s="171"/>
      <c r="F56" s="171"/>
      <c r="G56" s="171"/>
      <c r="H56" s="22"/>
      <c r="I56" s="172"/>
      <c r="J56" s="172"/>
      <c r="K56" s="171"/>
      <c r="L56" s="172"/>
      <c r="M56" s="172"/>
      <c r="N56" s="172"/>
      <c r="O56" s="172"/>
      <c r="P56" s="23"/>
      <c r="Q56" s="23"/>
      <c r="R56" s="172"/>
      <c r="S56" s="172"/>
      <c r="T56" s="172"/>
      <c r="U56" s="172"/>
      <c r="V56" s="20"/>
      <c r="W56" s="24"/>
      <c r="X56" s="24"/>
      <c r="Y56" s="24"/>
      <c r="Z56" s="24"/>
      <c r="AA56" s="24"/>
      <c r="AB56" s="24"/>
      <c r="AC56" s="24"/>
      <c r="AD56" s="24"/>
      <c r="AE56" s="24"/>
      <c r="AF56" s="24"/>
      <c r="AG56" s="24"/>
      <c r="AH56" s="25"/>
      <c r="AI56" s="26"/>
      <c r="AJ56" s="25"/>
      <c r="AK56" s="31"/>
      <c r="AL56" s="24"/>
      <c r="AM56" s="24"/>
      <c r="AN56" s="24"/>
      <c r="AO56" s="24"/>
      <c r="AP56" s="27"/>
      <c r="AQ56" s="28"/>
      <c r="AR56" s="29"/>
      <c r="AS56" s="30"/>
      <c r="AV56" s="316"/>
      <c r="AW56" s="316"/>
      <c r="AX56" s="316"/>
      <c r="AY56" s="316"/>
      <c r="AZ56" s="315"/>
      <c r="BC56" s="261"/>
      <c r="BD56" s="261"/>
      <c r="BE56" s="261"/>
      <c r="BF56" s="261"/>
      <c r="BJ56" s="285">
        <f t="shared" si="6"/>
        <v>0</v>
      </c>
      <c r="BK56" s="285">
        <f t="shared" si="7"/>
        <v>0</v>
      </c>
      <c r="BM56" s="261">
        <f t="shared" si="8"/>
        <v>0</v>
      </c>
      <c r="BN56" s="261">
        <f t="shared" si="9"/>
        <v>0</v>
      </c>
    </row>
    <row r="57" spans="2:66" ht="22.9" hidden="1" customHeight="1" x14ac:dyDescent="0.25">
      <c r="B57" s="21"/>
      <c r="C57" s="171"/>
      <c r="D57" s="131"/>
      <c r="E57" s="152"/>
      <c r="F57" s="171"/>
      <c r="G57" s="171"/>
      <c r="H57" s="22"/>
      <c r="I57" s="172"/>
      <c r="J57" s="172"/>
      <c r="K57" s="171"/>
      <c r="L57" s="172"/>
      <c r="M57" s="172"/>
      <c r="N57" s="172"/>
      <c r="O57" s="172"/>
      <c r="P57" s="23"/>
      <c r="Q57" s="23"/>
      <c r="R57" s="172"/>
      <c r="S57" s="172"/>
      <c r="T57" s="172"/>
      <c r="U57" s="172"/>
      <c r="V57" s="20"/>
      <c r="W57" s="24"/>
      <c r="X57" s="24"/>
      <c r="Y57" s="24"/>
      <c r="Z57" s="24"/>
      <c r="AA57" s="24"/>
      <c r="AB57" s="24"/>
      <c r="AC57" s="24"/>
      <c r="AD57" s="24"/>
      <c r="AE57" s="24"/>
      <c r="AF57" s="24"/>
      <c r="AG57" s="24"/>
      <c r="AH57" s="25"/>
      <c r="AI57" s="26"/>
      <c r="AJ57" s="25"/>
      <c r="AK57" s="31"/>
      <c r="AL57" s="24"/>
      <c r="AM57" s="24"/>
      <c r="AN57" s="24"/>
      <c r="AO57" s="24"/>
      <c r="AP57" s="27"/>
      <c r="AQ57" s="28"/>
      <c r="AR57" s="29"/>
      <c r="AS57" s="30"/>
      <c r="AV57" s="316"/>
      <c r="AW57" s="316"/>
      <c r="AX57" s="316"/>
      <c r="AY57" s="316"/>
      <c r="AZ57" s="315"/>
      <c r="BC57" s="261"/>
      <c r="BD57" s="261"/>
      <c r="BE57" s="261"/>
      <c r="BF57" s="261"/>
      <c r="BJ57" s="285">
        <f t="shared" si="6"/>
        <v>0</v>
      </c>
      <c r="BK57" s="285">
        <f t="shared" si="7"/>
        <v>0</v>
      </c>
      <c r="BM57" s="261">
        <f t="shared" si="8"/>
        <v>0</v>
      </c>
      <c r="BN57" s="261">
        <f t="shared" si="9"/>
        <v>0</v>
      </c>
    </row>
    <row r="58" spans="2:66" ht="22.9" hidden="1" customHeight="1" x14ac:dyDescent="0.25">
      <c r="B58" s="21"/>
      <c r="C58" s="171"/>
      <c r="D58" s="171"/>
      <c r="E58" s="152"/>
      <c r="F58" s="171"/>
      <c r="G58" s="171"/>
      <c r="H58" s="22"/>
      <c r="I58" s="172"/>
      <c r="J58" s="172"/>
      <c r="K58" s="171"/>
      <c r="L58" s="172"/>
      <c r="M58" s="172"/>
      <c r="N58" s="172"/>
      <c r="O58" s="172"/>
      <c r="P58" s="23"/>
      <c r="Q58" s="23"/>
      <c r="R58" s="172"/>
      <c r="S58" s="172"/>
      <c r="T58" s="172"/>
      <c r="U58" s="172"/>
      <c r="V58" s="20"/>
      <c r="W58" s="24"/>
      <c r="X58" s="24"/>
      <c r="Y58" s="25"/>
      <c r="Z58" s="25"/>
      <c r="AA58" s="25"/>
      <c r="AB58" s="25"/>
      <c r="AC58" s="25"/>
      <c r="AD58" s="24"/>
      <c r="AE58" s="24"/>
      <c r="AF58" s="24"/>
      <c r="AG58" s="24"/>
      <c r="AH58" s="25"/>
      <c r="AI58" s="26"/>
      <c r="AJ58" s="25"/>
      <c r="AK58" s="31"/>
      <c r="AL58" s="24"/>
      <c r="AM58" s="24"/>
      <c r="AN58" s="24"/>
      <c r="AO58" s="24"/>
      <c r="AP58" s="27"/>
      <c r="AQ58" s="28"/>
      <c r="AR58" s="29"/>
      <c r="AS58" s="30"/>
      <c r="AV58" s="316"/>
      <c r="AW58" s="316"/>
      <c r="AX58" s="316"/>
      <c r="AY58" s="316"/>
      <c r="AZ58" s="315"/>
      <c r="BC58" s="261"/>
      <c r="BD58" s="261"/>
      <c r="BE58" s="261"/>
      <c r="BF58" s="261"/>
      <c r="BJ58" s="285">
        <f t="shared" si="6"/>
        <v>0</v>
      </c>
      <c r="BK58" s="285">
        <f t="shared" si="7"/>
        <v>0</v>
      </c>
      <c r="BM58" s="261">
        <f t="shared" si="8"/>
        <v>0</v>
      </c>
      <c r="BN58" s="261">
        <f t="shared" si="9"/>
        <v>0</v>
      </c>
    </row>
    <row r="59" spans="2:66" ht="22.9" hidden="1" customHeight="1" x14ac:dyDescent="0.25">
      <c r="B59" s="21"/>
      <c r="C59" s="171"/>
      <c r="D59" s="171"/>
      <c r="E59" s="152"/>
      <c r="F59" s="171"/>
      <c r="G59" s="171"/>
      <c r="H59" s="22"/>
      <c r="I59" s="172"/>
      <c r="J59" s="172"/>
      <c r="K59" s="171"/>
      <c r="L59" s="172"/>
      <c r="M59" s="172"/>
      <c r="N59" s="172"/>
      <c r="O59" s="172"/>
      <c r="P59" s="23"/>
      <c r="Q59" s="23"/>
      <c r="R59" s="172"/>
      <c r="S59" s="172"/>
      <c r="T59" s="172"/>
      <c r="U59" s="172"/>
      <c r="V59" s="20"/>
      <c r="W59" s="24"/>
      <c r="X59" s="24"/>
      <c r="Y59" s="25"/>
      <c r="Z59" s="25"/>
      <c r="AA59" s="25"/>
      <c r="AB59" s="25"/>
      <c r="AC59" s="25"/>
      <c r="AD59" s="24"/>
      <c r="AE59" s="24"/>
      <c r="AF59" s="24"/>
      <c r="AG59" s="24"/>
      <c r="AH59" s="25"/>
      <c r="AI59" s="26"/>
      <c r="AJ59" s="25"/>
      <c r="AK59" s="31"/>
      <c r="AL59" s="24"/>
      <c r="AM59" s="24"/>
      <c r="AN59" s="24"/>
      <c r="AO59" s="24"/>
      <c r="AP59" s="27"/>
      <c r="AQ59" s="28"/>
      <c r="AR59" s="29"/>
      <c r="AS59" s="30"/>
      <c r="AV59" s="316"/>
      <c r="AW59" s="316"/>
      <c r="AX59" s="316"/>
      <c r="AY59" s="316"/>
      <c r="AZ59" s="315"/>
      <c r="BC59" s="261"/>
      <c r="BD59" s="261"/>
      <c r="BE59" s="261"/>
      <c r="BF59" s="261"/>
      <c r="BJ59" s="285">
        <f t="shared" si="6"/>
        <v>0</v>
      </c>
      <c r="BK59" s="285">
        <f t="shared" si="7"/>
        <v>0</v>
      </c>
      <c r="BM59" s="261">
        <f t="shared" si="8"/>
        <v>0</v>
      </c>
      <c r="BN59" s="261">
        <f t="shared" si="9"/>
        <v>0</v>
      </c>
    </row>
    <row r="60" spans="2:66" ht="22.9" hidden="1" customHeight="1" x14ac:dyDescent="0.25">
      <c r="B60" s="21"/>
      <c r="C60" s="171"/>
      <c r="D60" s="171"/>
      <c r="E60" s="152"/>
      <c r="F60" s="171"/>
      <c r="G60" s="171"/>
      <c r="H60" s="22"/>
      <c r="I60" s="172"/>
      <c r="J60" s="172"/>
      <c r="K60" s="171"/>
      <c r="L60" s="172"/>
      <c r="M60" s="172"/>
      <c r="N60" s="172"/>
      <c r="O60" s="172"/>
      <c r="P60" s="23"/>
      <c r="Q60" s="23"/>
      <c r="R60" s="172"/>
      <c r="S60" s="172"/>
      <c r="T60" s="172"/>
      <c r="U60" s="172"/>
      <c r="V60" s="20"/>
      <c r="W60" s="24"/>
      <c r="X60" s="24"/>
      <c r="Y60" s="25"/>
      <c r="Z60" s="25"/>
      <c r="AA60" s="25"/>
      <c r="AB60" s="25"/>
      <c r="AC60" s="25"/>
      <c r="AD60" s="24"/>
      <c r="AE60" s="24"/>
      <c r="AF60" s="24"/>
      <c r="AG60" s="24"/>
      <c r="AH60" s="25"/>
      <c r="AI60" s="26"/>
      <c r="AJ60" s="25"/>
      <c r="AK60" s="31"/>
      <c r="AL60" s="24"/>
      <c r="AM60" s="24"/>
      <c r="AN60" s="24"/>
      <c r="AO60" s="24"/>
      <c r="AP60" s="27"/>
      <c r="AQ60" s="28"/>
      <c r="AR60" s="29"/>
      <c r="AS60" s="30"/>
      <c r="AV60" s="316"/>
      <c r="AW60" s="316"/>
      <c r="AX60" s="316"/>
      <c r="AY60" s="316"/>
      <c r="AZ60" s="315"/>
      <c r="BC60" s="261"/>
      <c r="BD60" s="261"/>
      <c r="BE60" s="261"/>
      <c r="BF60" s="261"/>
      <c r="BJ60" s="285">
        <f t="shared" si="6"/>
        <v>0</v>
      </c>
      <c r="BK60" s="285">
        <f t="shared" si="7"/>
        <v>0</v>
      </c>
      <c r="BM60" s="261">
        <f t="shared" si="8"/>
        <v>0</v>
      </c>
      <c r="BN60" s="261">
        <f t="shared" si="9"/>
        <v>0</v>
      </c>
    </row>
    <row r="61" spans="2:66" ht="22.9" hidden="1" customHeight="1" x14ac:dyDescent="0.25">
      <c r="B61" s="21"/>
      <c r="C61" s="171"/>
      <c r="D61" s="171"/>
      <c r="E61" s="152"/>
      <c r="F61" s="171"/>
      <c r="G61" s="171"/>
      <c r="H61" s="22"/>
      <c r="I61" s="172"/>
      <c r="J61" s="172"/>
      <c r="K61" s="171"/>
      <c r="L61" s="172"/>
      <c r="M61" s="172"/>
      <c r="N61" s="172"/>
      <c r="O61" s="172"/>
      <c r="P61" s="23"/>
      <c r="Q61" s="23"/>
      <c r="R61" s="172"/>
      <c r="S61" s="172"/>
      <c r="T61" s="172"/>
      <c r="U61" s="172"/>
      <c r="V61" s="20"/>
      <c r="W61" s="24"/>
      <c r="X61" s="24"/>
      <c r="Y61" s="25"/>
      <c r="Z61" s="25"/>
      <c r="AA61" s="25"/>
      <c r="AB61" s="25"/>
      <c r="AC61" s="25"/>
      <c r="AD61" s="24"/>
      <c r="AE61" s="24"/>
      <c r="AF61" s="24"/>
      <c r="AG61" s="24"/>
      <c r="AH61" s="25"/>
      <c r="AI61" s="26"/>
      <c r="AJ61" s="25"/>
      <c r="AK61" s="31"/>
      <c r="AL61" s="24"/>
      <c r="AM61" s="24"/>
      <c r="AN61" s="24"/>
      <c r="AO61" s="24"/>
      <c r="AP61" s="27"/>
      <c r="AQ61" s="28"/>
      <c r="AR61" s="29"/>
      <c r="AS61" s="30"/>
      <c r="AV61" s="316"/>
      <c r="AW61" s="316"/>
      <c r="AX61" s="316"/>
      <c r="AY61" s="316"/>
      <c r="AZ61" s="315"/>
      <c r="BC61" s="261"/>
      <c r="BD61" s="261"/>
      <c r="BE61" s="261"/>
      <c r="BF61" s="261"/>
      <c r="BJ61" s="285">
        <f t="shared" si="6"/>
        <v>0</v>
      </c>
      <c r="BK61" s="285">
        <f t="shared" si="7"/>
        <v>0</v>
      </c>
      <c r="BM61" s="261">
        <f t="shared" si="8"/>
        <v>0</v>
      </c>
      <c r="BN61" s="261">
        <f t="shared" si="9"/>
        <v>0</v>
      </c>
    </row>
    <row r="62" spans="2:66" ht="22.9" hidden="1" customHeight="1" x14ac:dyDescent="0.25">
      <c r="B62" s="21"/>
      <c r="C62" s="171"/>
      <c r="D62" s="171"/>
      <c r="E62" s="152"/>
      <c r="F62" s="171"/>
      <c r="G62" s="171"/>
      <c r="H62" s="22"/>
      <c r="I62" s="172"/>
      <c r="J62" s="172"/>
      <c r="K62" s="171"/>
      <c r="L62" s="172"/>
      <c r="M62" s="172"/>
      <c r="N62" s="172"/>
      <c r="O62" s="172"/>
      <c r="P62" s="23"/>
      <c r="Q62" s="23"/>
      <c r="R62" s="172"/>
      <c r="S62" s="172"/>
      <c r="T62" s="172"/>
      <c r="U62" s="172"/>
      <c r="V62" s="20"/>
      <c r="W62" s="24"/>
      <c r="X62" s="24"/>
      <c r="Y62" s="25"/>
      <c r="Z62" s="25"/>
      <c r="AA62" s="25"/>
      <c r="AB62" s="25"/>
      <c r="AC62" s="25"/>
      <c r="AD62" s="24"/>
      <c r="AE62" s="24"/>
      <c r="AF62" s="24"/>
      <c r="AG62" s="24"/>
      <c r="AH62" s="25"/>
      <c r="AI62" s="26"/>
      <c r="AJ62" s="25"/>
      <c r="AK62" s="31"/>
      <c r="AL62" s="24"/>
      <c r="AM62" s="24"/>
      <c r="AN62" s="24"/>
      <c r="AO62" s="24"/>
      <c r="AP62" s="27"/>
      <c r="AQ62" s="28"/>
      <c r="AR62" s="29"/>
      <c r="AS62" s="30"/>
      <c r="AV62" s="316"/>
      <c r="AW62" s="316"/>
      <c r="AX62" s="316"/>
      <c r="AY62" s="316"/>
      <c r="AZ62" s="315"/>
      <c r="BC62" s="261"/>
      <c r="BD62" s="261"/>
      <c r="BE62" s="261"/>
      <c r="BF62" s="261"/>
      <c r="BJ62" s="285">
        <f t="shared" si="6"/>
        <v>0</v>
      </c>
      <c r="BK62" s="285">
        <f t="shared" si="7"/>
        <v>0</v>
      </c>
      <c r="BM62" s="261">
        <f t="shared" si="8"/>
        <v>0</v>
      </c>
      <c r="BN62" s="261">
        <f t="shared" si="9"/>
        <v>0</v>
      </c>
    </row>
    <row r="63" spans="2:66" ht="22.9" hidden="1" customHeight="1" x14ac:dyDescent="0.25">
      <c r="B63" s="21"/>
      <c r="C63" s="171"/>
      <c r="D63" s="171"/>
      <c r="E63" s="152"/>
      <c r="F63" s="171"/>
      <c r="G63" s="171"/>
      <c r="H63" s="22"/>
      <c r="I63" s="172"/>
      <c r="J63" s="172"/>
      <c r="K63" s="171"/>
      <c r="L63" s="172"/>
      <c r="M63" s="172"/>
      <c r="N63" s="172"/>
      <c r="O63" s="172"/>
      <c r="P63" s="23"/>
      <c r="Q63" s="23"/>
      <c r="R63" s="172"/>
      <c r="S63" s="172"/>
      <c r="T63" s="172"/>
      <c r="U63" s="172"/>
      <c r="V63" s="20"/>
      <c r="W63" s="24"/>
      <c r="X63" s="24"/>
      <c r="Y63" s="25"/>
      <c r="Z63" s="25"/>
      <c r="AA63" s="25"/>
      <c r="AB63" s="25"/>
      <c r="AC63" s="25"/>
      <c r="AD63" s="24"/>
      <c r="AE63" s="24"/>
      <c r="AF63" s="24"/>
      <c r="AG63" s="24"/>
      <c r="AH63" s="25"/>
      <c r="AI63" s="26"/>
      <c r="AJ63" s="25"/>
      <c r="AK63" s="31"/>
      <c r="AL63" s="24"/>
      <c r="AM63" s="24"/>
      <c r="AN63" s="24"/>
      <c r="AO63" s="24"/>
      <c r="AP63" s="27"/>
      <c r="AQ63" s="28"/>
      <c r="AR63" s="29"/>
      <c r="AS63" s="30"/>
      <c r="AV63" s="316"/>
      <c r="AW63" s="316"/>
      <c r="AX63" s="316"/>
      <c r="AY63" s="316"/>
      <c r="AZ63" s="315"/>
      <c r="BC63" s="261"/>
      <c r="BD63" s="261"/>
      <c r="BE63" s="261"/>
      <c r="BF63" s="261"/>
      <c r="BJ63" s="285">
        <f t="shared" si="6"/>
        <v>0</v>
      </c>
      <c r="BK63" s="285">
        <f t="shared" si="7"/>
        <v>0</v>
      </c>
      <c r="BM63" s="261">
        <f t="shared" si="8"/>
        <v>0</v>
      </c>
      <c r="BN63" s="261">
        <f t="shared" si="9"/>
        <v>0</v>
      </c>
    </row>
    <row r="64" spans="2:66" ht="22.9" hidden="1" customHeight="1" x14ac:dyDescent="0.25">
      <c r="B64" s="21"/>
      <c r="C64" s="171"/>
      <c r="D64" s="171"/>
      <c r="E64" s="152"/>
      <c r="F64" s="171"/>
      <c r="G64" s="171"/>
      <c r="H64" s="22"/>
      <c r="I64" s="172"/>
      <c r="J64" s="172"/>
      <c r="K64" s="171"/>
      <c r="L64" s="172"/>
      <c r="M64" s="172"/>
      <c r="N64" s="172"/>
      <c r="O64" s="172"/>
      <c r="P64" s="23"/>
      <c r="Q64" s="23"/>
      <c r="R64" s="172"/>
      <c r="S64" s="172"/>
      <c r="T64" s="172"/>
      <c r="U64" s="172"/>
      <c r="V64" s="20"/>
      <c r="W64" s="24"/>
      <c r="X64" s="24"/>
      <c r="Y64" s="25"/>
      <c r="Z64" s="25"/>
      <c r="AA64" s="25"/>
      <c r="AB64" s="25"/>
      <c r="AC64" s="25"/>
      <c r="AD64" s="24"/>
      <c r="AE64" s="24"/>
      <c r="AF64" s="24"/>
      <c r="AG64" s="24"/>
      <c r="AH64" s="25"/>
      <c r="AI64" s="26"/>
      <c r="AJ64" s="25"/>
      <c r="AK64" s="31"/>
      <c r="AL64" s="24"/>
      <c r="AM64" s="24"/>
      <c r="AN64" s="24"/>
      <c r="AO64" s="24"/>
      <c r="AP64" s="27"/>
      <c r="AQ64" s="28"/>
      <c r="AR64" s="29"/>
      <c r="AS64" s="30"/>
      <c r="AV64" s="316"/>
      <c r="AW64" s="316"/>
      <c r="AX64" s="316"/>
      <c r="AY64" s="316"/>
      <c r="AZ64" s="315"/>
      <c r="BC64" s="261"/>
      <c r="BD64" s="261"/>
      <c r="BE64" s="261"/>
      <c r="BF64" s="261"/>
      <c r="BJ64" s="285">
        <f t="shared" si="6"/>
        <v>0</v>
      </c>
      <c r="BK64" s="285">
        <f t="shared" si="7"/>
        <v>0</v>
      </c>
      <c r="BM64" s="261">
        <f t="shared" si="8"/>
        <v>0</v>
      </c>
      <c r="BN64" s="261">
        <f t="shared" si="9"/>
        <v>0</v>
      </c>
    </row>
    <row r="65" spans="2:66" ht="22.9" hidden="1" customHeight="1" x14ac:dyDescent="0.25">
      <c r="B65" s="21"/>
      <c r="C65" s="171"/>
      <c r="D65" s="171"/>
      <c r="E65" s="152"/>
      <c r="F65" s="171"/>
      <c r="G65" s="171"/>
      <c r="H65" s="22"/>
      <c r="I65" s="172"/>
      <c r="J65" s="172"/>
      <c r="K65" s="171"/>
      <c r="L65" s="172"/>
      <c r="M65" s="172"/>
      <c r="N65" s="172"/>
      <c r="O65" s="172"/>
      <c r="P65" s="23"/>
      <c r="Q65" s="23"/>
      <c r="R65" s="172"/>
      <c r="S65" s="172"/>
      <c r="T65" s="172"/>
      <c r="U65" s="172"/>
      <c r="V65" s="20"/>
      <c r="W65" s="24"/>
      <c r="X65" s="24"/>
      <c r="Y65" s="25"/>
      <c r="Z65" s="25"/>
      <c r="AA65" s="25"/>
      <c r="AB65" s="25"/>
      <c r="AC65" s="25"/>
      <c r="AD65" s="24"/>
      <c r="AE65" s="24"/>
      <c r="AF65" s="24"/>
      <c r="AG65" s="24"/>
      <c r="AH65" s="25"/>
      <c r="AI65" s="26"/>
      <c r="AJ65" s="25"/>
      <c r="AK65" s="31"/>
      <c r="AL65" s="24"/>
      <c r="AM65" s="24"/>
      <c r="AN65" s="24"/>
      <c r="AO65" s="24"/>
      <c r="AP65" s="27"/>
      <c r="AQ65" s="28"/>
      <c r="AR65" s="29"/>
      <c r="AS65" s="30"/>
      <c r="AV65" s="316"/>
      <c r="AW65" s="316"/>
      <c r="AX65" s="316"/>
      <c r="AY65" s="316"/>
      <c r="AZ65" s="315"/>
      <c r="BC65" s="261"/>
      <c r="BD65" s="261"/>
      <c r="BE65" s="261"/>
      <c r="BF65" s="261"/>
      <c r="BJ65" s="285">
        <f t="shared" si="6"/>
        <v>0</v>
      </c>
      <c r="BK65" s="285">
        <f t="shared" si="7"/>
        <v>0</v>
      </c>
      <c r="BM65" s="261">
        <f t="shared" si="8"/>
        <v>0</v>
      </c>
      <c r="BN65" s="261">
        <f t="shared" si="9"/>
        <v>0</v>
      </c>
    </row>
    <row r="66" spans="2:66" ht="22.9" hidden="1" customHeight="1" x14ac:dyDescent="0.25">
      <c r="B66" s="21"/>
      <c r="C66" s="171"/>
      <c r="D66" s="171"/>
      <c r="E66" s="152"/>
      <c r="F66" s="171"/>
      <c r="G66" s="171"/>
      <c r="H66" s="22"/>
      <c r="I66" s="172"/>
      <c r="J66" s="172"/>
      <c r="K66" s="171"/>
      <c r="L66" s="172"/>
      <c r="M66" s="172"/>
      <c r="N66" s="172"/>
      <c r="O66" s="172"/>
      <c r="P66" s="23"/>
      <c r="Q66" s="23"/>
      <c r="R66" s="172"/>
      <c r="S66" s="172"/>
      <c r="T66" s="172"/>
      <c r="U66" s="172"/>
      <c r="V66" s="20"/>
      <c r="W66" s="24"/>
      <c r="X66" s="24"/>
      <c r="Y66" s="25"/>
      <c r="Z66" s="25"/>
      <c r="AA66" s="25"/>
      <c r="AB66" s="25"/>
      <c r="AC66" s="25"/>
      <c r="AD66" s="24"/>
      <c r="AE66" s="24"/>
      <c r="AF66" s="24"/>
      <c r="AG66" s="24"/>
      <c r="AH66" s="25"/>
      <c r="AI66" s="26"/>
      <c r="AJ66" s="25"/>
      <c r="AK66" s="31"/>
      <c r="AL66" s="24"/>
      <c r="AM66" s="24"/>
      <c r="AN66" s="24"/>
      <c r="AO66" s="24"/>
      <c r="AP66" s="27"/>
      <c r="AQ66" s="28"/>
      <c r="AR66" s="29"/>
      <c r="AS66" s="30"/>
      <c r="AV66" s="316"/>
      <c r="AW66" s="316"/>
      <c r="AX66" s="316"/>
      <c r="AY66" s="316"/>
      <c r="AZ66" s="315"/>
      <c r="BC66" s="261"/>
      <c r="BD66" s="261"/>
      <c r="BE66" s="261"/>
      <c r="BF66" s="261"/>
      <c r="BJ66" s="285">
        <f t="shared" si="6"/>
        <v>0</v>
      </c>
      <c r="BK66" s="285">
        <f t="shared" si="7"/>
        <v>0</v>
      </c>
      <c r="BM66" s="261">
        <f t="shared" si="8"/>
        <v>0</v>
      </c>
      <c r="BN66" s="261">
        <f t="shared" si="9"/>
        <v>0</v>
      </c>
    </row>
    <row r="67" spans="2:66" ht="22.9" hidden="1" customHeight="1" x14ac:dyDescent="0.25">
      <c r="B67" s="21"/>
      <c r="C67" s="171"/>
      <c r="D67" s="171"/>
      <c r="E67" s="171"/>
      <c r="F67" s="171"/>
      <c r="G67" s="171"/>
      <c r="H67" s="22"/>
      <c r="I67" s="172"/>
      <c r="J67" s="172"/>
      <c r="K67" s="171"/>
      <c r="L67" s="172"/>
      <c r="M67" s="172"/>
      <c r="N67" s="172"/>
      <c r="O67" s="172"/>
      <c r="P67" s="23"/>
      <c r="Q67" s="23"/>
      <c r="R67" s="172"/>
      <c r="S67" s="172"/>
      <c r="T67" s="172"/>
      <c r="U67" s="172"/>
      <c r="V67" s="20"/>
      <c r="W67" s="24"/>
      <c r="X67" s="24"/>
      <c r="Y67" s="24"/>
      <c r="Z67" s="24"/>
      <c r="AA67" s="24"/>
      <c r="AB67" s="24"/>
      <c r="AC67" s="24"/>
      <c r="AD67" s="24"/>
      <c r="AE67" s="24"/>
      <c r="AF67" s="24"/>
      <c r="AG67" s="24"/>
      <c r="AH67" s="25"/>
      <c r="AI67" s="26"/>
      <c r="AJ67" s="25"/>
      <c r="AK67" s="31"/>
      <c r="AL67" s="24"/>
      <c r="AM67" s="24"/>
      <c r="AN67" s="24"/>
      <c r="AO67" s="24"/>
      <c r="AP67" s="27"/>
      <c r="AQ67" s="28"/>
      <c r="AR67" s="29"/>
      <c r="AS67" s="30"/>
      <c r="AV67" s="316"/>
      <c r="AW67" s="316"/>
      <c r="AX67" s="316"/>
      <c r="AY67" s="316"/>
      <c r="AZ67" s="315"/>
      <c r="BC67" s="261"/>
      <c r="BD67" s="261"/>
      <c r="BE67" s="261"/>
      <c r="BF67" s="261"/>
      <c r="BJ67" s="285">
        <f t="shared" si="6"/>
        <v>0</v>
      </c>
      <c r="BK67" s="285">
        <f t="shared" si="7"/>
        <v>0</v>
      </c>
      <c r="BM67" s="261">
        <f t="shared" si="8"/>
        <v>0</v>
      </c>
      <c r="BN67" s="261">
        <f t="shared" si="9"/>
        <v>0</v>
      </c>
    </row>
    <row r="68" spans="2:66" ht="22.9" hidden="1" customHeight="1" x14ac:dyDescent="0.25">
      <c r="B68" s="21"/>
      <c r="C68" s="171"/>
      <c r="D68" s="131"/>
      <c r="E68" s="152"/>
      <c r="F68" s="171"/>
      <c r="G68" s="171"/>
      <c r="H68" s="22"/>
      <c r="I68" s="172"/>
      <c r="J68" s="172"/>
      <c r="K68" s="171"/>
      <c r="L68" s="172"/>
      <c r="M68" s="172"/>
      <c r="N68" s="172"/>
      <c r="O68" s="172"/>
      <c r="P68" s="23"/>
      <c r="Q68" s="23"/>
      <c r="R68" s="172"/>
      <c r="S68" s="172"/>
      <c r="T68" s="172"/>
      <c r="U68" s="172"/>
      <c r="V68" s="20"/>
      <c r="W68" s="24"/>
      <c r="X68" s="24"/>
      <c r="Y68" s="24"/>
      <c r="Z68" s="24"/>
      <c r="AA68" s="24"/>
      <c r="AB68" s="24"/>
      <c r="AC68" s="24"/>
      <c r="AD68" s="24"/>
      <c r="AE68" s="24"/>
      <c r="AF68" s="24"/>
      <c r="AG68" s="24"/>
      <c r="AH68" s="25"/>
      <c r="AI68" s="26"/>
      <c r="AJ68" s="25"/>
      <c r="AK68" s="31"/>
      <c r="AL68" s="24"/>
      <c r="AM68" s="24"/>
      <c r="AN68" s="24"/>
      <c r="AO68" s="24"/>
      <c r="AP68" s="27"/>
      <c r="AQ68" s="28"/>
      <c r="AR68" s="29"/>
      <c r="AS68" s="30"/>
      <c r="AV68" s="316"/>
      <c r="AW68" s="316"/>
      <c r="AX68" s="316"/>
      <c r="AY68" s="316"/>
      <c r="AZ68" s="315"/>
      <c r="BC68" s="261"/>
      <c r="BD68" s="261"/>
      <c r="BE68" s="261"/>
      <c r="BF68" s="261"/>
      <c r="BJ68" s="285">
        <f t="shared" si="6"/>
        <v>0</v>
      </c>
      <c r="BK68" s="285">
        <f t="shared" si="7"/>
        <v>0</v>
      </c>
      <c r="BM68" s="261">
        <f t="shared" si="8"/>
        <v>0</v>
      </c>
      <c r="BN68" s="261">
        <f t="shared" si="9"/>
        <v>0</v>
      </c>
    </row>
    <row r="69" spans="2:66" ht="22.9" hidden="1" customHeight="1" x14ac:dyDescent="0.25">
      <c r="B69" s="21"/>
      <c r="C69" s="171"/>
      <c r="D69" s="171"/>
      <c r="E69" s="152"/>
      <c r="F69" s="171"/>
      <c r="G69" s="171"/>
      <c r="H69" s="22"/>
      <c r="I69" s="172"/>
      <c r="J69" s="172"/>
      <c r="K69" s="171"/>
      <c r="L69" s="172"/>
      <c r="M69" s="172"/>
      <c r="N69" s="172"/>
      <c r="O69" s="172"/>
      <c r="P69" s="23"/>
      <c r="Q69" s="23"/>
      <c r="R69" s="172"/>
      <c r="S69" s="172"/>
      <c r="T69" s="172"/>
      <c r="U69" s="172"/>
      <c r="V69" s="20"/>
      <c r="W69" s="24"/>
      <c r="X69" s="24"/>
      <c r="Y69" s="25"/>
      <c r="Z69" s="25"/>
      <c r="AA69" s="25"/>
      <c r="AB69" s="25"/>
      <c r="AC69" s="25"/>
      <c r="AD69" s="24"/>
      <c r="AE69" s="24"/>
      <c r="AF69" s="24"/>
      <c r="AG69" s="24"/>
      <c r="AH69" s="25"/>
      <c r="AI69" s="26"/>
      <c r="AJ69" s="25"/>
      <c r="AK69" s="31"/>
      <c r="AL69" s="24"/>
      <c r="AM69" s="24"/>
      <c r="AN69" s="24"/>
      <c r="AO69" s="24"/>
      <c r="AP69" s="27"/>
      <c r="AQ69" s="28"/>
      <c r="AR69" s="29"/>
      <c r="AS69" s="30"/>
      <c r="AV69" s="316"/>
      <c r="AW69" s="316"/>
      <c r="AX69" s="316"/>
      <c r="AY69" s="316"/>
      <c r="AZ69" s="315"/>
      <c r="BC69" s="261"/>
      <c r="BD69" s="261"/>
      <c r="BE69" s="261"/>
      <c r="BF69" s="261"/>
      <c r="BJ69" s="285">
        <f t="shared" si="6"/>
        <v>0</v>
      </c>
      <c r="BK69" s="285">
        <f t="shared" si="7"/>
        <v>0</v>
      </c>
      <c r="BM69" s="261">
        <f t="shared" si="8"/>
        <v>0</v>
      </c>
      <c r="BN69" s="261">
        <f t="shared" si="9"/>
        <v>0</v>
      </c>
    </row>
    <row r="70" spans="2:66" ht="22.9" hidden="1" customHeight="1" x14ac:dyDescent="0.25">
      <c r="B70" s="21"/>
      <c r="C70" s="171"/>
      <c r="D70" s="171"/>
      <c r="E70" s="152"/>
      <c r="F70" s="171"/>
      <c r="G70" s="171"/>
      <c r="H70" s="22"/>
      <c r="I70" s="172"/>
      <c r="J70" s="172"/>
      <c r="K70" s="171"/>
      <c r="L70" s="172"/>
      <c r="M70" s="172"/>
      <c r="N70" s="172"/>
      <c r="O70" s="172"/>
      <c r="P70" s="23"/>
      <c r="Q70" s="23"/>
      <c r="R70" s="172"/>
      <c r="S70" s="172"/>
      <c r="T70" s="172"/>
      <c r="U70" s="172"/>
      <c r="V70" s="20"/>
      <c r="W70" s="24"/>
      <c r="X70" s="24"/>
      <c r="Y70" s="25"/>
      <c r="Z70" s="25"/>
      <c r="AA70" s="25"/>
      <c r="AB70" s="25"/>
      <c r="AC70" s="25"/>
      <c r="AD70" s="24"/>
      <c r="AE70" s="24"/>
      <c r="AF70" s="24"/>
      <c r="AG70" s="24"/>
      <c r="AH70" s="25"/>
      <c r="AI70" s="26"/>
      <c r="AJ70" s="25"/>
      <c r="AK70" s="31"/>
      <c r="AL70" s="24"/>
      <c r="AM70" s="24"/>
      <c r="AN70" s="24"/>
      <c r="AO70" s="24"/>
      <c r="AP70" s="27"/>
      <c r="AQ70" s="28"/>
      <c r="AR70" s="29"/>
      <c r="AS70" s="30"/>
      <c r="AV70" s="316"/>
      <c r="AW70" s="316"/>
      <c r="AX70" s="316"/>
      <c r="AY70" s="316"/>
      <c r="AZ70" s="315"/>
      <c r="BC70" s="261"/>
      <c r="BD70" s="261"/>
      <c r="BE70" s="261"/>
      <c r="BF70" s="261"/>
      <c r="BJ70" s="285">
        <f t="shared" si="6"/>
        <v>0</v>
      </c>
      <c r="BK70" s="285">
        <f t="shared" si="7"/>
        <v>0</v>
      </c>
      <c r="BM70" s="261">
        <f t="shared" si="8"/>
        <v>0</v>
      </c>
      <c r="BN70" s="261">
        <f t="shared" si="9"/>
        <v>0</v>
      </c>
    </row>
    <row r="71" spans="2:66" ht="22.9" hidden="1" customHeight="1" x14ac:dyDescent="0.25">
      <c r="B71" s="21"/>
      <c r="C71" s="171"/>
      <c r="D71" s="171"/>
      <c r="E71" s="152"/>
      <c r="F71" s="171"/>
      <c r="G71" s="171"/>
      <c r="H71" s="22"/>
      <c r="I71" s="172"/>
      <c r="J71" s="172"/>
      <c r="K71" s="171"/>
      <c r="L71" s="172"/>
      <c r="M71" s="172"/>
      <c r="N71" s="172"/>
      <c r="O71" s="172"/>
      <c r="P71" s="23"/>
      <c r="Q71" s="23"/>
      <c r="R71" s="172"/>
      <c r="S71" s="172"/>
      <c r="T71" s="172"/>
      <c r="U71" s="172"/>
      <c r="V71" s="20"/>
      <c r="W71" s="24"/>
      <c r="X71" s="24"/>
      <c r="Y71" s="25"/>
      <c r="Z71" s="25"/>
      <c r="AA71" s="25"/>
      <c r="AB71" s="25"/>
      <c r="AC71" s="25"/>
      <c r="AD71" s="24"/>
      <c r="AE71" s="24"/>
      <c r="AF71" s="24"/>
      <c r="AG71" s="24"/>
      <c r="AH71" s="25"/>
      <c r="AI71" s="26"/>
      <c r="AJ71" s="25"/>
      <c r="AK71" s="31"/>
      <c r="AL71" s="24"/>
      <c r="AM71" s="24"/>
      <c r="AN71" s="24"/>
      <c r="AO71" s="24"/>
      <c r="AP71" s="27"/>
      <c r="AQ71" s="28"/>
      <c r="AR71" s="29"/>
      <c r="AS71" s="30"/>
      <c r="AV71" s="316"/>
      <c r="AW71" s="316"/>
      <c r="AX71" s="316"/>
      <c r="AY71" s="316"/>
      <c r="AZ71" s="315"/>
      <c r="BC71" s="261"/>
      <c r="BD71" s="261"/>
      <c r="BE71" s="261"/>
      <c r="BF71" s="261"/>
      <c r="BJ71" s="285">
        <f t="shared" si="6"/>
        <v>0</v>
      </c>
      <c r="BK71" s="285">
        <f t="shared" si="7"/>
        <v>0</v>
      </c>
      <c r="BM71" s="261">
        <f t="shared" si="8"/>
        <v>0</v>
      </c>
      <c r="BN71" s="261">
        <f t="shared" si="9"/>
        <v>0</v>
      </c>
    </row>
    <row r="72" spans="2:66" ht="22.9" hidden="1" customHeight="1" x14ac:dyDescent="0.25">
      <c r="B72" s="21"/>
      <c r="C72" s="171"/>
      <c r="D72" s="171"/>
      <c r="E72" s="152"/>
      <c r="F72" s="171"/>
      <c r="G72" s="171"/>
      <c r="H72" s="22"/>
      <c r="I72" s="172"/>
      <c r="J72" s="172"/>
      <c r="K72" s="171"/>
      <c r="L72" s="172"/>
      <c r="M72" s="172"/>
      <c r="N72" s="172"/>
      <c r="O72" s="172"/>
      <c r="P72" s="23"/>
      <c r="Q72" s="23"/>
      <c r="R72" s="172"/>
      <c r="S72" s="172"/>
      <c r="T72" s="172"/>
      <c r="U72" s="172"/>
      <c r="V72" s="20"/>
      <c r="W72" s="24"/>
      <c r="X72" s="24"/>
      <c r="Y72" s="25"/>
      <c r="Z72" s="25"/>
      <c r="AA72" s="25"/>
      <c r="AB72" s="25"/>
      <c r="AC72" s="25"/>
      <c r="AD72" s="24"/>
      <c r="AE72" s="24"/>
      <c r="AF72" s="24"/>
      <c r="AG72" s="24"/>
      <c r="AH72" s="25"/>
      <c r="AI72" s="26"/>
      <c r="AJ72" s="25"/>
      <c r="AK72" s="31"/>
      <c r="AL72" s="24"/>
      <c r="AM72" s="24"/>
      <c r="AN72" s="24"/>
      <c r="AO72" s="24"/>
      <c r="AP72" s="27"/>
      <c r="AQ72" s="28"/>
      <c r="AR72" s="29"/>
      <c r="AS72" s="30"/>
      <c r="AV72" s="316"/>
      <c r="AW72" s="316"/>
      <c r="AX72" s="316"/>
      <c r="AY72" s="316"/>
      <c r="AZ72" s="315"/>
      <c r="BC72" s="261"/>
      <c r="BD72" s="261"/>
      <c r="BE72" s="261"/>
      <c r="BF72" s="261"/>
      <c r="BJ72" s="285">
        <f t="shared" si="6"/>
        <v>0</v>
      </c>
      <c r="BK72" s="285">
        <f t="shared" si="7"/>
        <v>0</v>
      </c>
      <c r="BM72" s="261">
        <f t="shared" si="8"/>
        <v>0</v>
      </c>
      <c r="BN72" s="261">
        <f t="shared" si="9"/>
        <v>0</v>
      </c>
    </row>
    <row r="73" spans="2:66" ht="22.9" hidden="1" customHeight="1" x14ac:dyDescent="0.25">
      <c r="B73" s="21"/>
      <c r="C73" s="171"/>
      <c r="D73" s="171"/>
      <c r="E73" s="152"/>
      <c r="F73" s="171"/>
      <c r="G73" s="171"/>
      <c r="H73" s="22"/>
      <c r="I73" s="172"/>
      <c r="J73" s="172"/>
      <c r="K73" s="171"/>
      <c r="L73" s="172"/>
      <c r="M73" s="172"/>
      <c r="N73" s="172"/>
      <c r="O73" s="172"/>
      <c r="P73" s="23"/>
      <c r="Q73" s="23"/>
      <c r="R73" s="172"/>
      <c r="S73" s="172"/>
      <c r="T73" s="172"/>
      <c r="U73" s="172"/>
      <c r="V73" s="20"/>
      <c r="W73" s="24"/>
      <c r="X73" s="24"/>
      <c r="Y73" s="25"/>
      <c r="Z73" s="25"/>
      <c r="AA73" s="25"/>
      <c r="AB73" s="25"/>
      <c r="AC73" s="25"/>
      <c r="AD73" s="24"/>
      <c r="AE73" s="24"/>
      <c r="AF73" s="24"/>
      <c r="AG73" s="24"/>
      <c r="AH73" s="25"/>
      <c r="AI73" s="26"/>
      <c r="AJ73" s="25"/>
      <c r="AK73" s="31"/>
      <c r="AL73" s="24"/>
      <c r="AM73" s="24"/>
      <c r="AN73" s="24"/>
      <c r="AO73" s="24"/>
      <c r="AP73" s="27"/>
      <c r="AQ73" s="28"/>
      <c r="AR73" s="29"/>
      <c r="AS73" s="30"/>
      <c r="AV73" s="316"/>
      <c r="AW73" s="316"/>
      <c r="AX73" s="316"/>
      <c r="AY73" s="316"/>
      <c r="AZ73" s="315"/>
      <c r="BC73" s="261"/>
      <c r="BD73" s="261"/>
      <c r="BE73" s="261"/>
      <c r="BF73" s="261"/>
      <c r="BJ73" s="285">
        <f t="shared" si="6"/>
        <v>0</v>
      </c>
      <c r="BK73" s="285">
        <f t="shared" si="7"/>
        <v>0</v>
      </c>
      <c r="BM73" s="261">
        <f t="shared" si="8"/>
        <v>0</v>
      </c>
      <c r="BN73" s="261">
        <f t="shared" si="9"/>
        <v>0</v>
      </c>
    </row>
    <row r="74" spans="2:66" ht="22.9" hidden="1" customHeight="1" x14ac:dyDescent="0.25">
      <c r="B74" s="21"/>
      <c r="C74" s="171"/>
      <c r="D74" s="171"/>
      <c r="E74" s="152"/>
      <c r="F74" s="171"/>
      <c r="G74" s="171"/>
      <c r="H74" s="22"/>
      <c r="I74" s="172"/>
      <c r="J74" s="172"/>
      <c r="K74" s="171"/>
      <c r="L74" s="172"/>
      <c r="M74" s="172"/>
      <c r="N74" s="172"/>
      <c r="O74" s="172"/>
      <c r="P74" s="23"/>
      <c r="Q74" s="23"/>
      <c r="R74" s="172"/>
      <c r="S74" s="172"/>
      <c r="T74" s="172"/>
      <c r="U74" s="172"/>
      <c r="V74" s="20"/>
      <c r="W74" s="24"/>
      <c r="X74" s="24"/>
      <c r="Y74" s="25"/>
      <c r="Z74" s="25"/>
      <c r="AA74" s="25"/>
      <c r="AB74" s="25"/>
      <c r="AC74" s="25"/>
      <c r="AD74" s="24"/>
      <c r="AE74" s="24"/>
      <c r="AF74" s="24"/>
      <c r="AG74" s="24"/>
      <c r="AH74" s="25"/>
      <c r="AI74" s="26"/>
      <c r="AJ74" s="25"/>
      <c r="AK74" s="31"/>
      <c r="AL74" s="24"/>
      <c r="AM74" s="24"/>
      <c r="AN74" s="24"/>
      <c r="AO74" s="24"/>
      <c r="AP74" s="27"/>
      <c r="AQ74" s="28"/>
      <c r="AR74" s="29"/>
      <c r="AS74" s="30"/>
      <c r="AV74" s="316"/>
      <c r="AW74" s="316"/>
      <c r="AX74" s="316"/>
      <c r="AY74" s="316"/>
      <c r="AZ74" s="315"/>
      <c r="BC74" s="261"/>
      <c r="BD74" s="261"/>
      <c r="BE74" s="261"/>
      <c r="BF74" s="261"/>
      <c r="BJ74" s="285">
        <f t="shared" si="6"/>
        <v>0</v>
      </c>
      <c r="BK74" s="285">
        <f t="shared" si="7"/>
        <v>0</v>
      </c>
      <c r="BM74" s="261">
        <f t="shared" si="8"/>
        <v>0</v>
      </c>
      <c r="BN74" s="261">
        <f t="shared" si="9"/>
        <v>0</v>
      </c>
    </row>
    <row r="75" spans="2:66" ht="22.9" hidden="1" customHeight="1" x14ac:dyDescent="0.25">
      <c r="B75" s="21"/>
      <c r="C75" s="171"/>
      <c r="D75" s="171"/>
      <c r="E75" s="152"/>
      <c r="F75" s="171"/>
      <c r="G75" s="171"/>
      <c r="H75" s="22"/>
      <c r="I75" s="172"/>
      <c r="J75" s="172"/>
      <c r="K75" s="171"/>
      <c r="L75" s="172"/>
      <c r="M75" s="172"/>
      <c r="N75" s="172"/>
      <c r="O75" s="172"/>
      <c r="P75" s="23"/>
      <c r="Q75" s="23"/>
      <c r="R75" s="172"/>
      <c r="S75" s="172"/>
      <c r="T75" s="172"/>
      <c r="U75" s="172"/>
      <c r="V75" s="20"/>
      <c r="W75" s="24"/>
      <c r="X75" s="24"/>
      <c r="Y75" s="25"/>
      <c r="Z75" s="25"/>
      <c r="AA75" s="25"/>
      <c r="AB75" s="25"/>
      <c r="AC75" s="25"/>
      <c r="AD75" s="24"/>
      <c r="AE75" s="24"/>
      <c r="AF75" s="24"/>
      <c r="AG75" s="24"/>
      <c r="AH75" s="25"/>
      <c r="AI75" s="26"/>
      <c r="AJ75" s="25"/>
      <c r="AK75" s="31"/>
      <c r="AL75" s="24"/>
      <c r="AM75" s="24"/>
      <c r="AN75" s="24"/>
      <c r="AO75" s="24"/>
      <c r="AP75" s="27"/>
      <c r="AQ75" s="28"/>
      <c r="AR75" s="29"/>
      <c r="AS75" s="30"/>
      <c r="AV75" s="316"/>
      <c r="AW75" s="316"/>
      <c r="AX75" s="316"/>
      <c r="AY75" s="316"/>
      <c r="AZ75" s="315"/>
      <c r="BC75" s="261"/>
      <c r="BD75" s="261"/>
      <c r="BE75" s="261"/>
      <c r="BF75" s="261"/>
      <c r="BJ75" s="285">
        <f t="shared" si="6"/>
        <v>0</v>
      </c>
      <c r="BK75" s="285">
        <f t="shared" si="7"/>
        <v>0</v>
      </c>
      <c r="BM75" s="261">
        <f t="shared" si="8"/>
        <v>0</v>
      </c>
      <c r="BN75" s="261">
        <f t="shared" si="9"/>
        <v>0</v>
      </c>
    </row>
    <row r="76" spans="2:66" ht="22.9" hidden="1" customHeight="1" x14ac:dyDescent="0.25">
      <c r="B76" s="21"/>
      <c r="C76" s="171"/>
      <c r="D76" s="171"/>
      <c r="E76" s="152"/>
      <c r="F76" s="171"/>
      <c r="G76" s="171"/>
      <c r="H76" s="22"/>
      <c r="I76" s="172"/>
      <c r="J76" s="172"/>
      <c r="K76" s="171"/>
      <c r="L76" s="172"/>
      <c r="M76" s="172"/>
      <c r="N76" s="172"/>
      <c r="O76" s="172"/>
      <c r="P76" s="23"/>
      <c r="Q76" s="23"/>
      <c r="R76" s="172"/>
      <c r="S76" s="172"/>
      <c r="T76" s="172"/>
      <c r="U76" s="172"/>
      <c r="V76" s="20"/>
      <c r="W76" s="24"/>
      <c r="X76" s="24"/>
      <c r="Y76" s="25"/>
      <c r="Z76" s="25"/>
      <c r="AA76" s="25"/>
      <c r="AB76" s="25"/>
      <c r="AC76" s="25"/>
      <c r="AD76" s="24"/>
      <c r="AE76" s="24"/>
      <c r="AF76" s="24"/>
      <c r="AG76" s="24"/>
      <c r="AH76" s="25"/>
      <c r="AI76" s="26"/>
      <c r="AJ76" s="25"/>
      <c r="AK76" s="31"/>
      <c r="AL76" s="24"/>
      <c r="AM76" s="24"/>
      <c r="AN76" s="24"/>
      <c r="AO76" s="24"/>
      <c r="AP76" s="27"/>
      <c r="AQ76" s="28"/>
      <c r="AR76" s="29"/>
      <c r="AS76" s="30"/>
      <c r="AV76" s="316"/>
      <c r="AW76" s="316"/>
      <c r="AX76" s="316"/>
      <c r="AY76" s="316"/>
      <c r="AZ76" s="315"/>
      <c r="BC76" s="261"/>
      <c r="BD76" s="261"/>
      <c r="BE76" s="261"/>
      <c r="BF76" s="261"/>
      <c r="BJ76" s="285">
        <f t="shared" si="6"/>
        <v>0</v>
      </c>
      <c r="BK76" s="285">
        <f t="shared" si="7"/>
        <v>0</v>
      </c>
      <c r="BM76" s="261">
        <f t="shared" si="8"/>
        <v>0</v>
      </c>
      <c r="BN76" s="261">
        <f t="shared" si="9"/>
        <v>0</v>
      </c>
    </row>
    <row r="77" spans="2:66" ht="22.9" hidden="1" customHeight="1" x14ac:dyDescent="0.25">
      <c r="B77" s="21"/>
      <c r="C77" s="171"/>
      <c r="D77" s="171"/>
      <c r="E77" s="171"/>
      <c r="F77" s="171"/>
      <c r="G77" s="171"/>
      <c r="H77" s="22"/>
      <c r="I77" s="172"/>
      <c r="J77" s="172"/>
      <c r="K77" s="171"/>
      <c r="L77" s="172"/>
      <c r="M77" s="172"/>
      <c r="N77" s="172"/>
      <c r="O77" s="172"/>
      <c r="P77" s="23"/>
      <c r="Q77" s="23"/>
      <c r="R77" s="172"/>
      <c r="S77" s="172"/>
      <c r="T77" s="172"/>
      <c r="U77" s="172"/>
      <c r="V77" s="20"/>
      <c r="W77" s="24"/>
      <c r="X77" s="24"/>
      <c r="Y77" s="24"/>
      <c r="Z77" s="24"/>
      <c r="AA77" s="24"/>
      <c r="AB77" s="24"/>
      <c r="AC77" s="24"/>
      <c r="AD77" s="24"/>
      <c r="AE77" s="24"/>
      <c r="AF77" s="24"/>
      <c r="AG77" s="24"/>
      <c r="AH77" s="25"/>
      <c r="AI77" s="26"/>
      <c r="AJ77" s="25"/>
      <c r="AK77" s="31"/>
      <c r="AL77" s="24"/>
      <c r="AM77" s="24"/>
      <c r="AN77" s="24"/>
      <c r="AO77" s="24"/>
      <c r="AP77" s="27"/>
      <c r="AQ77" s="28"/>
      <c r="AR77" s="29"/>
      <c r="AS77" s="30"/>
      <c r="AV77" s="316"/>
      <c r="AW77" s="316"/>
      <c r="AX77" s="316"/>
      <c r="AY77" s="316"/>
      <c r="AZ77" s="315"/>
      <c r="BC77" s="261"/>
      <c r="BD77" s="261"/>
      <c r="BE77" s="261"/>
      <c r="BF77" s="261"/>
      <c r="BJ77" s="285">
        <f t="shared" si="6"/>
        <v>0</v>
      </c>
      <c r="BK77" s="285">
        <f t="shared" si="7"/>
        <v>0</v>
      </c>
      <c r="BM77" s="261">
        <f t="shared" si="8"/>
        <v>0</v>
      </c>
      <c r="BN77" s="261">
        <f t="shared" si="9"/>
        <v>0</v>
      </c>
    </row>
    <row r="78" spans="2:66" ht="22.9" hidden="1" customHeight="1" x14ac:dyDescent="0.25">
      <c r="B78" s="21"/>
      <c r="C78" s="171"/>
      <c r="D78" s="131"/>
      <c r="E78" s="152"/>
      <c r="F78" s="171"/>
      <c r="G78" s="171"/>
      <c r="H78" s="22"/>
      <c r="I78" s="172"/>
      <c r="J78" s="172"/>
      <c r="K78" s="171"/>
      <c r="L78" s="172"/>
      <c r="M78" s="172"/>
      <c r="N78" s="172"/>
      <c r="O78" s="172"/>
      <c r="P78" s="23"/>
      <c r="Q78" s="23"/>
      <c r="R78" s="23"/>
      <c r="S78" s="172"/>
      <c r="T78" s="172"/>
      <c r="U78" s="172"/>
      <c r="V78" s="20"/>
      <c r="W78" s="24"/>
      <c r="X78" s="24"/>
      <c r="Y78" s="24"/>
      <c r="Z78" s="24"/>
      <c r="AA78" s="24"/>
      <c r="AB78" s="24"/>
      <c r="AC78" s="24"/>
      <c r="AD78" s="24"/>
      <c r="AE78" s="24"/>
      <c r="AF78" s="24"/>
      <c r="AG78" s="24"/>
      <c r="AH78" s="25"/>
      <c r="AI78" s="26"/>
      <c r="AJ78" s="25"/>
      <c r="AK78" s="31"/>
      <c r="AL78" s="24"/>
      <c r="AM78" s="24"/>
      <c r="AN78" s="24"/>
      <c r="AO78" s="24"/>
      <c r="AP78" s="27"/>
      <c r="AQ78" s="28"/>
      <c r="AR78" s="29"/>
      <c r="AS78" s="30"/>
      <c r="AV78" s="316"/>
      <c r="AW78" s="316"/>
      <c r="AX78" s="316"/>
      <c r="AY78" s="316"/>
      <c r="AZ78" s="315"/>
      <c r="BC78" s="261"/>
      <c r="BD78" s="261"/>
      <c r="BE78" s="261"/>
      <c r="BF78" s="261"/>
      <c r="BJ78" s="285">
        <f t="shared" si="6"/>
        <v>0</v>
      </c>
      <c r="BK78" s="285">
        <f t="shared" si="7"/>
        <v>0</v>
      </c>
      <c r="BM78" s="261">
        <f t="shared" si="8"/>
        <v>0</v>
      </c>
      <c r="BN78" s="261">
        <f t="shared" si="9"/>
        <v>0</v>
      </c>
    </row>
    <row r="79" spans="2:66" ht="22.9" hidden="1" customHeight="1" x14ac:dyDescent="0.25">
      <c r="B79" s="21"/>
      <c r="C79" s="171"/>
      <c r="D79" s="171"/>
      <c r="E79" s="152"/>
      <c r="F79" s="171"/>
      <c r="G79" s="171"/>
      <c r="H79" s="22"/>
      <c r="I79" s="172"/>
      <c r="J79" s="172"/>
      <c r="K79" s="171"/>
      <c r="L79" s="172"/>
      <c r="M79" s="172"/>
      <c r="N79" s="172"/>
      <c r="O79" s="172"/>
      <c r="P79" s="23"/>
      <c r="Q79" s="23"/>
      <c r="R79" s="172"/>
      <c r="S79" s="172"/>
      <c r="T79" s="172"/>
      <c r="U79" s="172"/>
      <c r="V79" s="20"/>
      <c r="W79" s="24"/>
      <c r="X79" s="24"/>
      <c r="Y79" s="25"/>
      <c r="Z79" s="25"/>
      <c r="AA79" s="25"/>
      <c r="AB79" s="25"/>
      <c r="AC79" s="25"/>
      <c r="AD79" s="24"/>
      <c r="AE79" s="24"/>
      <c r="AF79" s="24"/>
      <c r="AG79" s="24"/>
      <c r="AH79" s="25"/>
      <c r="AI79" s="26"/>
      <c r="AJ79" s="25"/>
      <c r="AK79" s="31"/>
      <c r="AL79" s="24"/>
      <c r="AM79" s="24"/>
      <c r="AN79" s="24"/>
      <c r="AO79" s="24"/>
      <c r="AP79" s="27"/>
      <c r="AQ79" s="28"/>
      <c r="AR79" s="29"/>
      <c r="AS79" s="30"/>
      <c r="AV79" s="316"/>
      <c r="AW79" s="316"/>
      <c r="AX79" s="316"/>
      <c r="AY79" s="316"/>
      <c r="AZ79" s="315"/>
      <c r="BC79" s="261"/>
      <c r="BD79" s="261"/>
      <c r="BE79" s="261"/>
      <c r="BF79" s="261"/>
      <c r="BJ79" s="285">
        <f t="shared" si="6"/>
        <v>0</v>
      </c>
      <c r="BK79" s="285">
        <f t="shared" si="7"/>
        <v>0</v>
      </c>
      <c r="BM79" s="261">
        <f t="shared" si="8"/>
        <v>0</v>
      </c>
      <c r="BN79" s="261">
        <f t="shared" si="9"/>
        <v>0</v>
      </c>
    </row>
    <row r="80" spans="2:66" ht="22.9" hidden="1" customHeight="1" x14ac:dyDescent="0.25">
      <c r="B80" s="21"/>
      <c r="C80" s="171"/>
      <c r="D80" s="171"/>
      <c r="E80" s="171"/>
      <c r="F80" s="171"/>
      <c r="G80" s="171"/>
      <c r="H80" s="22"/>
      <c r="I80" s="172"/>
      <c r="J80" s="172"/>
      <c r="K80" s="171"/>
      <c r="L80" s="172"/>
      <c r="M80" s="172"/>
      <c r="N80" s="172"/>
      <c r="O80" s="172"/>
      <c r="P80" s="23"/>
      <c r="Q80" s="23"/>
      <c r="R80" s="172"/>
      <c r="S80" s="172"/>
      <c r="T80" s="172"/>
      <c r="U80" s="172"/>
      <c r="V80" s="20"/>
      <c r="W80" s="24"/>
      <c r="X80" s="24"/>
      <c r="Y80" s="25"/>
      <c r="Z80" s="25"/>
      <c r="AA80" s="25"/>
      <c r="AB80" s="25"/>
      <c r="AC80" s="25"/>
      <c r="AD80" s="24"/>
      <c r="AE80" s="24"/>
      <c r="AF80" s="24"/>
      <c r="AG80" s="24"/>
      <c r="AH80" s="25"/>
      <c r="AI80" s="26"/>
      <c r="AJ80" s="25"/>
      <c r="AK80" s="31"/>
      <c r="AL80" s="24"/>
      <c r="AM80" s="24"/>
      <c r="AN80" s="24"/>
      <c r="AO80" s="24"/>
      <c r="AP80" s="27"/>
      <c r="AQ80" s="28"/>
      <c r="AR80" s="29"/>
      <c r="AS80" s="30"/>
      <c r="AV80" s="316"/>
      <c r="AW80" s="316"/>
      <c r="AX80" s="316"/>
      <c r="AY80" s="316"/>
      <c r="AZ80" s="315"/>
      <c r="BC80" s="261"/>
      <c r="BD80" s="261"/>
      <c r="BE80" s="261"/>
      <c r="BF80" s="261"/>
      <c r="BJ80" s="285">
        <f t="shared" si="6"/>
        <v>0</v>
      </c>
      <c r="BK80" s="285">
        <f t="shared" si="7"/>
        <v>0</v>
      </c>
      <c r="BM80" s="261">
        <f t="shared" si="8"/>
        <v>0</v>
      </c>
      <c r="BN80" s="261">
        <f t="shared" si="9"/>
        <v>0</v>
      </c>
    </row>
    <row r="81" spans="2:66" ht="22.9" hidden="1" customHeight="1" x14ac:dyDescent="0.25">
      <c r="B81" s="21"/>
      <c r="C81" s="171"/>
      <c r="D81" s="171"/>
      <c r="E81" s="152"/>
      <c r="F81" s="171"/>
      <c r="G81" s="171"/>
      <c r="H81" s="22"/>
      <c r="I81" s="172"/>
      <c r="J81" s="172"/>
      <c r="K81" s="171"/>
      <c r="L81" s="172"/>
      <c r="M81" s="172"/>
      <c r="N81" s="172"/>
      <c r="O81" s="172"/>
      <c r="P81" s="23"/>
      <c r="Q81" s="23"/>
      <c r="R81" s="172"/>
      <c r="S81" s="172"/>
      <c r="T81" s="172"/>
      <c r="U81" s="172"/>
      <c r="V81" s="20"/>
      <c r="W81" s="24"/>
      <c r="X81" s="24"/>
      <c r="Y81" s="25"/>
      <c r="Z81" s="25"/>
      <c r="AA81" s="25"/>
      <c r="AB81" s="25"/>
      <c r="AC81" s="25"/>
      <c r="AD81" s="24"/>
      <c r="AE81" s="24"/>
      <c r="AF81" s="24"/>
      <c r="AG81" s="24"/>
      <c r="AH81" s="25"/>
      <c r="AI81" s="26"/>
      <c r="AJ81" s="25"/>
      <c r="AK81" s="31"/>
      <c r="AL81" s="24"/>
      <c r="AM81" s="24"/>
      <c r="AN81" s="24"/>
      <c r="AO81" s="24"/>
      <c r="AP81" s="27"/>
      <c r="AQ81" s="28"/>
      <c r="AR81" s="29"/>
      <c r="AS81" s="30"/>
      <c r="AV81" s="316"/>
      <c r="AW81" s="316"/>
      <c r="AX81" s="316"/>
      <c r="AY81" s="316"/>
      <c r="AZ81" s="315"/>
      <c r="BC81" s="261"/>
      <c r="BD81" s="261"/>
      <c r="BE81" s="261"/>
      <c r="BF81" s="261"/>
      <c r="BJ81" s="285">
        <f t="shared" si="6"/>
        <v>0</v>
      </c>
      <c r="BK81" s="285">
        <f t="shared" si="7"/>
        <v>0</v>
      </c>
      <c r="BM81" s="261">
        <f t="shared" si="8"/>
        <v>0</v>
      </c>
      <c r="BN81" s="261">
        <f t="shared" si="9"/>
        <v>0</v>
      </c>
    </row>
    <row r="82" spans="2:66" ht="22.9" hidden="1" customHeight="1" x14ac:dyDescent="0.25">
      <c r="B82" s="21"/>
      <c r="C82" s="171"/>
      <c r="D82" s="171"/>
      <c r="E82" s="152"/>
      <c r="F82" s="171"/>
      <c r="G82" s="171"/>
      <c r="H82" s="22"/>
      <c r="I82" s="172"/>
      <c r="J82" s="172"/>
      <c r="K82" s="171"/>
      <c r="L82" s="172"/>
      <c r="M82" s="172"/>
      <c r="N82" s="172"/>
      <c r="O82" s="172"/>
      <c r="P82" s="23"/>
      <c r="Q82" s="23"/>
      <c r="R82" s="172"/>
      <c r="S82" s="172"/>
      <c r="T82" s="172"/>
      <c r="U82" s="172"/>
      <c r="V82" s="20"/>
      <c r="W82" s="24"/>
      <c r="X82" s="24"/>
      <c r="Y82" s="25"/>
      <c r="Z82" s="25"/>
      <c r="AA82" s="25"/>
      <c r="AB82" s="25"/>
      <c r="AC82" s="25"/>
      <c r="AD82" s="24"/>
      <c r="AE82" s="24"/>
      <c r="AF82" s="24"/>
      <c r="AG82" s="24"/>
      <c r="AH82" s="25"/>
      <c r="AI82" s="26"/>
      <c r="AJ82" s="25"/>
      <c r="AK82" s="31"/>
      <c r="AL82" s="24"/>
      <c r="AM82" s="24"/>
      <c r="AN82" s="24"/>
      <c r="AO82" s="24"/>
      <c r="AP82" s="27"/>
      <c r="AQ82" s="28"/>
      <c r="AR82" s="29"/>
      <c r="AS82" s="30"/>
      <c r="AV82" s="316"/>
      <c r="AW82" s="316"/>
      <c r="AX82" s="316"/>
      <c r="AY82" s="316"/>
      <c r="AZ82" s="315"/>
      <c r="BC82" s="261"/>
      <c r="BD82" s="261"/>
      <c r="BE82" s="261"/>
      <c r="BF82" s="261"/>
      <c r="BJ82" s="285">
        <f t="shared" si="6"/>
        <v>0</v>
      </c>
      <c r="BK82" s="285">
        <f t="shared" si="7"/>
        <v>0</v>
      </c>
      <c r="BM82" s="261">
        <f t="shared" si="8"/>
        <v>0</v>
      </c>
      <c r="BN82" s="261">
        <f t="shared" si="9"/>
        <v>0</v>
      </c>
    </row>
    <row r="83" spans="2:66" ht="22.9" hidden="1" customHeight="1" x14ac:dyDescent="0.25">
      <c r="B83" s="21"/>
      <c r="C83" s="171"/>
      <c r="D83" s="171"/>
      <c r="E83" s="152"/>
      <c r="F83" s="171"/>
      <c r="G83" s="171"/>
      <c r="H83" s="22"/>
      <c r="I83" s="172"/>
      <c r="J83" s="172"/>
      <c r="K83" s="171"/>
      <c r="L83" s="172"/>
      <c r="M83" s="172"/>
      <c r="N83" s="172"/>
      <c r="O83" s="172"/>
      <c r="P83" s="23"/>
      <c r="Q83" s="23"/>
      <c r="R83" s="172"/>
      <c r="S83" s="172"/>
      <c r="T83" s="172"/>
      <c r="U83" s="172"/>
      <c r="V83" s="20"/>
      <c r="W83" s="24"/>
      <c r="X83" s="24"/>
      <c r="Y83" s="25"/>
      <c r="Z83" s="25"/>
      <c r="AA83" s="25"/>
      <c r="AB83" s="25"/>
      <c r="AC83" s="25"/>
      <c r="AD83" s="24"/>
      <c r="AE83" s="24"/>
      <c r="AF83" s="24"/>
      <c r="AG83" s="24"/>
      <c r="AH83" s="25"/>
      <c r="AI83" s="26"/>
      <c r="AJ83" s="25"/>
      <c r="AK83" s="31"/>
      <c r="AL83" s="24"/>
      <c r="AM83" s="24"/>
      <c r="AN83" s="24"/>
      <c r="AO83" s="24"/>
      <c r="AP83" s="27"/>
      <c r="AQ83" s="28"/>
      <c r="AR83" s="29"/>
      <c r="AS83" s="30"/>
      <c r="AV83" s="316"/>
      <c r="AW83" s="316"/>
      <c r="AX83" s="316"/>
      <c r="AY83" s="316"/>
      <c r="AZ83" s="315"/>
      <c r="BC83" s="261"/>
      <c r="BD83" s="261"/>
      <c r="BE83" s="261"/>
      <c r="BF83" s="261"/>
      <c r="BJ83" s="285">
        <f t="shared" si="6"/>
        <v>0</v>
      </c>
      <c r="BK83" s="285">
        <f t="shared" si="7"/>
        <v>0</v>
      </c>
      <c r="BM83" s="261">
        <f t="shared" si="8"/>
        <v>0</v>
      </c>
      <c r="BN83" s="261">
        <f t="shared" si="9"/>
        <v>0</v>
      </c>
    </row>
    <row r="84" spans="2:66" ht="22.9" hidden="1" customHeight="1" x14ac:dyDescent="0.25">
      <c r="B84" s="21"/>
      <c r="C84" s="171"/>
      <c r="D84" s="171"/>
      <c r="E84" s="152"/>
      <c r="F84" s="171"/>
      <c r="G84" s="171"/>
      <c r="H84" s="22"/>
      <c r="I84" s="172"/>
      <c r="J84" s="172"/>
      <c r="K84" s="171"/>
      <c r="L84" s="172"/>
      <c r="M84" s="172"/>
      <c r="N84" s="172"/>
      <c r="O84" s="172"/>
      <c r="P84" s="23"/>
      <c r="Q84" s="23"/>
      <c r="R84" s="172"/>
      <c r="S84" s="172"/>
      <c r="T84" s="172"/>
      <c r="U84" s="172"/>
      <c r="V84" s="20"/>
      <c r="W84" s="24"/>
      <c r="X84" s="24"/>
      <c r="Y84" s="25"/>
      <c r="Z84" s="25"/>
      <c r="AA84" s="25"/>
      <c r="AB84" s="25"/>
      <c r="AC84" s="25"/>
      <c r="AD84" s="24"/>
      <c r="AE84" s="24"/>
      <c r="AF84" s="24"/>
      <c r="AG84" s="24"/>
      <c r="AH84" s="25"/>
      <c r="AI84" s="26"/>
      <c r="AJ84" s="25"/>
      <c r="AK84" s="31"/>
      <c r="AL84" s="24"/>
      <c r="AM84" s="24"/>
      <c r="AN84" s="24"/>
      <c r="AO84" s="24"/>
      <c r="AP84" s="27"/>
      <c r="AQ84" s="28"/>
      <c r="AR84" s="29"/>
      <c r="AS84" s="30"/>
      <c r="AV84" s="316"/>
      <c r="AW84" s="316"/>
      <c r="AX84" s="316"/>
      <c r="AY84" s="316"/>
      <c r="AZ84" s="315"/>
      <c r="BC84" s="261"/>
      <c r="BD84" s="261"/>
      <c r="BE84" s="261"/>
      <c r="BF84" s="261"/>
      <c r="BJ84" s="285">
        <f t="shared" si="6"/>
        <v>0</v>
      </c>
      <c r="BK84" s="285">
        <f t="shared" si="7"/>
        <v>0</v>
      </c>
      <c r="BM84" s="261">
        <f t="shared" si="8"/>
        <v>0</v>
      </c>
      <c r="BN84" s="261">
        <f t="shared" si="9"/>
        <v>0</v>
      </c>
    </row>
    <row r="85" spans="2:66" ht="22.9" hidden="1" customHeight="1" x14ac:dyDescent="0.25">
      <c r="B85" s="21"/>
      <c r="C85" s="171"/>
      <c r="D85" s="171"/>
      <c r="E85" s="171"/>
      <c r="F85" s="171"/>
      <c r="G85" s="171"/>
      <c r="H85" s="22"/>
      <c r="I85" s="172"/>
      <c r="J85" s="172"/>
      <c r="K85" s="171"/>
      <c r="L85" s="172"/>
      <c r="M85" s="172"/>
      <c r="N85" s="172"/>
      <c r="O85" s="172"/>
      <c r="P85" s="23"/>
      <c r="Q85" s="23"/>
      <c r="R85" s="172"/>
      <c r="S85" s="172"/>
      <c r="T85" s="172"/>
      <c r="U85" s="172"/>
      <c r="V85" s="20"/>
      <c r="W85" s="24"/>
      <c r="X85" s="24"/>
      <c r="Y85" s="24"/>
      <c r="Z85" s="24"/>
      <c r="AA85" s="24"/>
      <c r="AB85" s="24"/>
      <c r="AC85" s="24"/>
      <c r="AD85" s="24"/>
      <c r="AE85" s="24"/>
      <c r="AF85" s="24"/>
      <c r="AG85" s="24"/>
      <c r="AH85" s="25"/>
      <c r="AI85" s="26"/>
      <c r="AJ85" s="25"/>
      <c r="AK85" s="31"/>
      <c r="AL85" s="24"/>
      <c r="AM85" s="24"/>
      <c r="AN85" s="24"/>
      <c r="AO85" s="24"/>
      <c r="AP85" s="27"/>
      <c r="AQ85" s="28"/>
      <c r="AR85" s="29"/>
      <c r="AS85" s="30"/>
      <c r="AV85" s="316"/>
      <c r="AW85" s="316"/>
      <c r="AX85" s="316"/>
      <c r="AY85" s="316"/>
      <c r="AZ85" s="315"/>
      <c r="BC85" s="261"/>
      <c r="BD85" s="261"/>
      <c r="BE85" s="261"/>
      <c r="BF85" s="261"/>
      <c r="BJ85" s="285">
        <f t="shared" si="6"/>
        <v>0</v>
      </c>
      <c r="BK85" s="285">
        <f t="shared" si="7"/>
        <v>0</v>
      </c>
      <c r="BM85" s="261">
        <f t="shared" si="8"/>
        <v>0</v>
      </c>
      <c r="BN85" s="261">
        <f t="shared" si="9"/>
        <v>0</v>
      </c>
    </row>
    <row r="86" spans="2:66" ht="22.9" hidden="1" customHeight="1" x14ac:dyDescent="0.25">
      <c r="B86" s="21"/>
      <c r="C86" s="171"/>
      <c r="D86" s="131"/>
      <c r="E86" s="152"/>
      <c r="F86" s="171"/>
      <c r="G86" s="171"/>
      <c r="H86" s="22"/>
      <c r="I86" s="172"/>
      <c r="J86" s="172"/>
      <c r="K86" s="171"/>
      <c r="L86" s="172"/>
      <c r="M86" s="172"/>
      <c r="N86" s="172"/>
      <c r="O86" s="172"/>
      <c r="P86" s="23"/>
      <c r="Q86" s="23"/>
      <c r="R86" s="172"/>
      <c r="S86" s="172"/>
      <c r="T86" s="172"/>
      <c r="U86" s="172"/>
      <c r="V86" s="20"/>
      <c r="W86" s="24"/>
      <c r="X86" s="24"/>
      <c r="Y86" s="24"/>
      <c r="Z86" s="24"/>
      <c r="AA86" s="24"/>
      <c r="AB86" s="24"/>
      <c r="AC86" s="24"/>
      <c r="AD86" s="24"/>
      <c r="AE86" s="24"/>
      <c r="AF86" s="24"/>
      <c r="AG86" s="24"/>
      <c r="AH86" s="25"/>
      <c r="AI86" s="26"/>
      <c r="AJ86" s="25"/>
      <c r="AK86" s="31"/>
      <c r="AL86" s="24"/>
      <c r="AM86" s="24"/>
      <c r="AN86" s="24"/>
      <c r="AO86" s="24"/>
      <c r="AP86" s="27"/>
      <c r="AQ86" s="28"/>
      <c r="AR86" s="29"/>
      <c r="AS86" s="30"/>
      <c r="AV86" s="316"/>
      <c r="AW86" s="316"/>
      <c r="AX86" s="316"/>
      <c r="AY86" s="316"/>
      <c r="AZ86" s="315"/>
      <c r="BC86" s="261"/>
      <c r="BD86" s="261"/>
      <c r="BE86" s="261"/>
      <c r="BF86" s="261"/>
      <c r="BJ86" s="285">
        <f t="shared" si="6"/>
        <v>0</v>
      </c>
      <c r="BK86" s="285">
        <f t="shared" si="7"/>
        <v>0</v>
      </c>
      <c r="BM86" s="261">
        <f t="shared" si="8"/>
        <v>0</v>
      </c>
      <c r="BN86" s="261">
        <f t="shared" si="9"/>
        <v>0</v>
      </c>
    </row>
    <row r="87" spans="2:66" ht="22.9" hidden="1" customHeight="1" x14ac:dyDescent="0.25">
      <c r="B87" s="21"/>
      <c r="C87" s="171"/>
      <c r="D87" s="171"/>
      <c r="E87" s="152"/>
      <c r="F87" s="171"/>
      <c r="G87" s="171"/>
      <c r="H87" s="22"/>
      <c r="I87" s="172"/>
      <c r="J87" s="172"/>
      <c r="K87" s="171"/>
      <c r="L87" s="172"/>
      <c r="M87" s="172"/>
      <c r="N87" s="172"/>
      <c r="O87" s="172"/>
      <c r="P87" s="23"/>
      <c r="Q87" s="23"/>
      <c r="R87" s="172"/>
      <c r="S87" s="172"/>
      <c r="T87" s="172"/>
      <c r="U87" s="172"/>
      <c r="V87" s="20"/>
      <c r="W87" s="24"/>
      <c r="X87" s="24"/>
      <c r="Y87" s="25"/>
      <c r="Z87" s="25"/>
      <c r="AA87" s="25"/>
      <c r="AB87" s="25"/>
      <c r="AC87" s="25"/>
      <c r="AD87" s="24"/>
      <c r="AE87" s="24"/>
      <c r="AF87" s="24"/>
      <c r="AG87" s="24"/>
      <c r="AH87" s="25"/>
      <c r="AI87" s="26"/>
      <c r="AJ87" s="25"/>
      <c r="AK87" s="31"/>
      <c r="AL87" s="24"/>
      <c r="AM87" s="24"/>
      <c r="AN87" s="24"/>
      <c r="AO87" s="24"/>
      <c r="AP87" s="27"/>
      <c r="AQ87" s="28"/>
      <c r="AR87" s="29"/>
      <c r="AS87" s="30"/>
      <c r="AV87" s="316"/>
      <c r="AW87" s="316"/>
      <c r="AX87" s="316"/>
      <c r="AY87" s="316"/>
      <c r="AZ87" s="315"/>
      <c r="BC87" s="261"/>
      <c r="BD87" s="261"/>
      <c r="BE87" s="261"/>
      <c r="BF87" s="261"/>
      <c r="BJ87" s="285">
        <f t="shared" si="6"/>
        <v>0</v>
      </c>
      <c r="BK87" s="285">
        <f t="shared" si="7"/>
        <v>0</v>
      </c>
      <c r="BM87" s="261">
        <f t="shared" si="8"/>
        <v>0</v>
      </c>
      <c r="BN87" s="261">
        <f t="shared" si="9"/>
        <v>0</v>
      </c>
    </row>
    <row r="88" spans="2:66" ht="22.9" hidden="1" customHeight="1" x14ac:dyDescent="0.25">
      <c r="B88" s="21"/>
      <c r="C88" s="171"/>
      <c r="D88" s="171"/>
      <c r="E88" s="152"/>
      <c r="F88" s="171"/>
      <c r="G88" s="171"/>
      <c r="H88" s="22"/>
      <c r="I88" s="172"/>
      <c r="J88" s="172"/>
      <c r="K88" s="171"/>
      <c r="L88" s="172"/>
      <c r="M88" s="172"/>
      <c r="N88" s="172"/>
      <c r="O88" s="172"/>
      <c r="P88" s="23"/>
      <c r="Q88" s="23"/>
      <c r="R88" s="172"/>
      <c r="S88" s="172"/>
      <c r="T88" s="172"/>
      <c r="U88" s="172"/>
      <c r="V88" s="20"/>
      <c r="W88" s="24"/>
      <c r="X88" s="24"/>
      <c r="Y88" s="25"/>
      <c r="Z88" s="25"/>
      <c r="AA88" s="25"/>
      <c r="AB88" s="25"/>
      <c r="AC88" s="25"/>
      <c r="AD88" s="24"/>
      <c r="AE88" s="24"/>
      <c r="AF88" s="24"/>
      <c r="AG88" s="24"/>
      <c r="AH88" s="25"/>
      <c r="AI88" s="26"/>
      <c r="AJ88" s="25"/>
      <c r="AK88" s="31"/>
      <c r="AL88" s="24"/>
      <c r="AM88" s="24"/>
      <c r="AN88" s="24"/>
      <c r="AO88" s="24"/>
      <c r="AP88" s="27"/>
      <c r="AQ88" s="28"/>
      <c r="AR88" s="29"/>
      <c r="AS88" s="30"/>
      <c r="AV88" s="316"/>
      <c r="AW88" s="316"/>
      <c r="AX88" s="316"/>
      <c r="AY88" s="316"/>
      <c r="AZ88" s="315"/>
      <c r="BC88" s="261"/>
      <c r="BD88" s="261"/>
      <c r="BE88" s="261"/>
      <c r="BF88" s="261"/>
      <c r="BJ88" s="285">
        <f t="shared" si="6"/>
        <v>0</v>
      </c>
      <c r="BK88" s="285">
        <f t="shared" si="7"/>
        <v>0</v>
      </c>
      <c r="BM88" s="261">
        <f t="shared" si="8"/>
        <v>0</v>
      </c>
      <c r="BN88" s="261">
        <f t="shared" si="9"/>
        <v>0</v>
      </c>
    </row>
    <row r="89" spans="2:66" ht="22.9" hidden="1" customHeight="1" x14ac:dyDescent="0.25">
      <c r="B89" s="21"/>
      <c r="C89" s="171"/>
      <c r="D89" s="171"/>
      <c r="E89" s="152"/>
      <c r="F89" s="171"/>
      <c r="G89" s="171"/>
      <c r="H89" s="22"/>
      <c r="I89" s="172"/>
      <c r="J89" s="172"/>
      <c r="K89" s="171"/>
      <c r="L89" s="172"/>
      <c r="M89" s="172"/>
      <c r="N89" s="172"/>
      <c r="O89" s="172"/>
      <c r="P89" s="23"/>
      <c r="Q89" s="23"/>
      <c r="R89" s="172"/>
      <c r="S89" s="172"/>
      <c r="T89" s="172"/>
      <c r="U89" s="172"/>
      <c r="V89" s="20"/>
      <c r="W89" s="24"/>
      <c r="X89" s="24"/>
      <c r="Y89" s="25"/>
      <c r="Z89" s="25"/>
      <c r="AA89" s="25"/>
      <c r="AB89" s="25"/>
      <c r="AC89" s="25"/>
      <c r="AD89" s="24"/>
      <c r="AE89" s="24"/>
      <c r="AF89" s="24"/>
      <c r="AG89" s="24"/>
      <c r="AH89" s="25"/>
      <c r="AI89" s="26"/>
      <c r="AJ89" s="25"/>
      <c r="AK89" s="31"/>
      <c r="AL89" s="24"/>
      <c r="AM89" s="24"/>
      <c r="AN89" s="24"/>
      <c r="AO89" s="24"/>
      <c r="AP89" s="27"/>
      <c r="AQ89" s="28"/>
      <c r="AR89" s="29"/>
      <c r="AS89" s="30"/>
      <c r="AV89" s="316"/>
      <c r="AW89" s="316"/>
      <c r="AX89" s="316"/>
      <c r="AY89" s="316"/>
      <c r="AZ89" s="315"/>
      <c r="BC89" s="261"/>
      <c r="BD89" s="261"/>
      <c r="BE89" s="261"/>
      <c r="BF89" s="261"/>
      <c r="BJ89" s="285">
        <f t="shared" si="6"/>
        <v>0</v>
      </c>
      <c r="BK89" s="285">
        <f t="shared" si="7"/>
        <v>0</v>
      </c>
      <c r="BM89" s="261">
        <f t="shared" si="8"/>
        <v>0</v>
      </c>
      <c r="BN89" s="261">
        <f t="shared" si="9"/>
        <v>0</v>
      </c>
    </row>
    <row r="90" spans="2:66" ht="22.9" hidden="1" customHeight="1" x14ac:dyDescent="0.25">
      <c r="B90" s="21"/>
      <c r="C90" s="171"/>
      <c r="D90" s="171"/>
      <c r="E90" s="152"/>
      <c r="F90" s="171"/>
      <c r="G90" s="171"/>
      <c r="H90" s="22"/>
      <c r="I90" s="172"/>
      <c r="J90" s="172"/>
      <c r="K90" s="171"/>
      <c r="L90" s="172"/>
      <c r="M90" s="172"/>
      <c r="N90" s="172"/>
      <c r="O90" s="172"/>
      <c r="P90" s="23"/>
      <c r="Q90" s="23"/>
      <c r="R90" s="172"/>
      <c r="S90" s="172"/>
      <c r="T90" s="172"/>
      <c r="U90" s="172"/>
      <c r="V90" s="20"/>
      <c r="W90" s="24"/>
      <c r="X90" s="24"/>
      <c r="Y90" s="25"/>
      <c r="Z90" s="25"/>
      <c r="AA90" s="25"/>
      <c r="AB90" s="25"/>
      <c r="AC90" s="25"/>
      <c r="AD90" s="24"/>
      <c r="AE90" s="24"/>
      <c r="AF90" s="24"/>
      <c r="AG90" s="24"/>
      <c r="AH90" s="25"/>
      <c r="AI90" s="26"/>
      <c r="AJ90" s="25"/>
      <c r="AK90" s="31"/>
      <c r="AL90" s="24"/>
      <c r="AM90" s="24"/>
      <c r="AN90" s="24"/>
      <c r="AO90" s="24"/>
      <c r="AP90" s="27"/>
      <c r="AQ90" s="28"/>
      <c r="AR90" s="29"/>
      <c r="AS90" s="30"/>
      <c r="AV90" s="316"/>
      <c r="AW90" s="316"/>
      <c r="AX90" s="316"/>
      <c r="AY90" s="316"/>
      <c r="AZ90" s="315"/>
      <c r="BC90" s="261"/>
      <c r="BD90" s="261"/>
      <c r="BE90" s="261"/>
      <c r="BF90" s="261"/>
      <c r="BJ90" s="285">
        <f t="shared" si="6"/>
        <v>0</v>
      </c>
      <c r="BK90" s="285">
        <f t="shared" si="7"/>
        <v>0</v>
      </c>
      <c r="BM90" s="261">
        <f t="shared" si="8"/>
        <v>0</v>
      </c>
      <c r="BN90" s="261">
        <f t="shared" si="9"/>
        <v>0</v>
      </c>
    </row>
    <row r="91" spans="2:66" ht="22.9" hidden="1" customHeight="1" x14ac:dyDescent="0.25">
      <c r="B91" s="21"/>
      <c r="C91" s="171"/>
      <c r="D91" s="171"/>
      <c r="E91" s="171"/>
      <c r="F91" s="171"/>
      <c r="G91" s="171"/>
      <c r="H91" s="22"/>
      <c r="I91" s="172"/>
      <c r="J91" s="172"/>
      <c r="K91" s="171"/>
      <c r="L91" s="172"/>
      <c r="M91" s="172"/>
      <c r="N91" s="172"/>
      <c r="O91" s="172"/>
      <c r="P91" s="23"/>
      <c r="Q91" s="23"/>
      <c r="R91" s="172"/>
      <c r="S91" s="172"/>
      <c r="T91" s="172"/>
      <c r="U91" s="172"/>
      <c r="V91" s="20"/>
      <c r="W91" s="24"/>
      <c r="X91" s="24"/>
      <c r="Y91" s="24"/>
      <c r="Z91" s="24"/>
      <c r="AA91" s="24"/>
      <c r="AB91" s="24"/>
      <c r="AC91" s="24"/>
      <c r="AD91" s="24"/>
      <c r="AE91" s="24"/>
      <c r="AF91" s="24"/>
      <c r="AG91" s="24"/>
      <c r="AH91" s="25"/>
      <c r="AI91" s="26"/>
      <c r="AJ91" s="25"/>
      <c r="AK91" s="31"/>
      <c r="AL91" s="24"/>
      <c r="AM91" s="24"/>
      <c r="AN91" s="24"/>
      <c r="AO91" s="24"/>
      <c r="AP91" s="27"/>
      <c r="AQ91" s="28"/>
      <c r="AR91" s="29"/>
      <c r="AS91" s="30"/>
      <c r="AV91" s="316"/>
      <c r="AW91" s="316"/>
      <c r="AX91" s="316"/>
      <c r="AY91" s="316"/>
      <c r="AZ91" s="315"/>
      <c r="BC91" s="261"/>
      <c r="BD91" s="261"/>
      <c r="BE91" s="261"/>
      <c r="BF91" s="261"/>
      <c r="BJ91" s="285">
        <f t="shared" si="6"/>
        <v>0</v>
      </c>
      <c r="BK91" s="285">
        <f t="shared" si="7"/>
        <v>0</v>
      </c>
      <c r="BM91" s="261">
        <f t="shared" si="8"/>
        <v>0</v>
      </c>
      <c r="BN91" s="261">
        <f t="shared" si="9"/>
        <v>0</v>
      </c>
    </row>
    <row r="92" spans="2:66" ht="22.9" hidden="1" customHeight="1" x14ac:dyDescent="0.25">
      <c r="B92" s="21"/>
      <c r="C92" s="171"/>
      <c r="D92" s="131"/>
      <c r="E92" s="152"/>
      <c r="F92" s="171"/>
      <c r="G92" s="171"/>
      <c r="H92" s="22"/>
      <c r="I92" s="172"/>
      <c r="J92" s="172"/>
      <c r="K92" s="171"/>
      <c r="L92" s="172"/>
      <c r="M92" s="172"/>
      <c r="N92" s="172"/>
      <c r="O92" s="172"/>
      <c r="P92" s="23"/>
      <c r="Q92" s="23"/>
      <c r="R92" s="172"/>
      <c r="S92" s="172"/>
      <c r="T92" s="172"/>
      <c r="U92" s="172"/>
      <c r="V92" s="20"/>
      <c r="W92" s="24"/>
      <c r="X92" s="24"/>
      <c r="Y92" s="24"/>
      <c r="Z92" s="24"/>
      <c r="AA92" s="24"/>
      <c r="AB92" s="24"/>
      <c r="AC92" s="24"/>
      <c r="AD92" s="24"/>
      <c r="AE92" s="24"/>
      <c r="AF92" s="24"/>
      <c r="AG92" s="24"/>
      <c r="AH92" s="25"/>
      <c r="AI92" s="26"/>
      <c r="AJ92" s="25"/>
      <c r="AK92" s="31"/>
      <c r="AL92" s="24"/>
      <c r="AM92" s="24"/>
      <c r="AN92" s="24"/>
      <c r="AO92" s="24"/>
      <c r="AP92" s="27"/>
      <c r="AQ92" s="28"/>
      <c r="AR92" s="29"/>
      <c r="AS92" s="30"/>
      <c r="AV92" s="316"/>
      <c r="AW92" s="316"/>
      <c r="AX92" s="316"/>
      <c r="AY92" s="316"/>
      <c r="AZ92" s="315"/>
      <c r="BC92" s="261"/>
      <c r="BD92" s="261"/>
      <c r="BE92" s="261"/>
      <c r="BF92" s="261"/>
      <c r="BJ92" s="285">
        <f t="shared" si="6"/>
        <v>0</v>
      </c>
      <c r="BK92" s="285">
        <f t="shared" si="7"/>
        <v>0</v>
      </c>
      <c r="BM92" s="261">
        <f t="shared" si="8"/>
        <v>0</v>
      </c>
      <c r="BN92" s="261">
        <f t="shared" si="9"/>
        <v>0</v>
      </c>
    </row>
    <row r="93" spans="2:66" ht="22.9" hidden="1" customHeight="1" x14ac:dyDescent="0.25">
      <c r="B93" s="21"/>
      <c r="C93" s="171"/>
      <c r="D93" s="171"/>
      <c r="E93" s="152"/>
      <c r="F93" s="171"/>
      <c r="G93" s="171"/>
      <c r="H93" s="22"/>
      <c r="I93" s="172"/>
      <c r="J93" s="172"/>
      <c r="K93" s="171"/>
      <c r="L93" s="172"/>
      <c r="M93" s="172"/>
      <c r="N93" s="172"/>
      <c r="O93" s="172"/>
      <c r="P93" s="23"/>
      <c r="Q93" s="23"/>
      <c r="R93" s="172"/>
      <c r="S93" s="172"/>
      <c r="T93" s="172"/>
      <c r="U93" s="172"/>
      <c r="V93" s="20"/>
      <c r="W93" s="24"/>
      <c r="X93" s="24"/>
      <c r="Y93" s="25"/>
      <c r="Z93" s="25"/>
      <c r="AA93" s="25"/>
      <c r="AB93" s="25"/>
      <c r="AC93" s="25"/>
      <c r="AD93" s="24"/>
      <c r="AE93" s="24"/>
      <c r="AF93" s="24"/>
      <c r="AG93" s="24"/>
      <c r="AH93" s="25"/>
      <c r="AI93" s="26"/>
      <c r="AJ93" s="25"/>
      <c r="AK93" s="31"/>
      <c r="AL93" s="24"/>
      <c r="AM93" s="24"/>
      <c r="AN93" s="24"/>
      <c r="AO93" s="24"/>
      <c r="AP93" s="27"/>
      <c r="AQ93" s="28"/>
      <c r="AR93" s="29"/>
      <c r="AS93" s="30"/>
      <c r="AV93" s="316"/>
      <c r="AW93" s="316"/>
      <c r="AX93" s="316"/>
      <c r="AY93" s="316"/>
      <c r="AZ93" s="315"/>
      <c r="BC93" s="261"/>
      <c r="BD93" s="261"/>
      <c r="BE93" s="261"/>
      <c r="BF93" s="261"/>
      <c r="BJ93" s="285">
        <f t="shared" si="6"/>
        <v>0</v>
      </c>
      <c r="BK93" s="285">
        <f t="shared" si="7"/>
        <v>0</v>
      </c>
      <c r="BM93" s="261">
        <f t="shared" si="8"/>
        <v>0</v>
      </c>
      <c r="BN93" s="261">
        <f t="shared" si="9"/>
        <v>0</v>
      </c>
    </row>
    <row r="94" spans="2:66" ht="22.9" hidden="1" customHeight="1" x14ac:dyDescent="0.25">
      <c r="B94" s="21"/>
      <c r="C94" s="171"/>
      <c r="D94" s="171"/>
      <c r="E94" s="152"/>
      <c r="F94" s="171"/>
      <c r="G94" s="171"/>
      <c r="H94" s="22"/>
      <c r="I94" s="172"/>
      <c r="J94" s="172"/>
      <c r="K94" s="171"/>
      <c r="L94" s="172"/>
      <c r="M94" s="172"/>
      <c r="N94" s="172"/>
      <c r="O94" s="172"/>
      <c r="P94" s="23"/>
      <c r="Q94" s="23"/>
      <c r="R94" s="172"/>
      <c r="S94" s="172"/>
      <c r="T94" s="172"/>
      <c r="U94" s="172"/>
      <c r="V94" s="20"/>
      <c r="W94" s="24"/>
      <c r="X94" s="24"/>
      <c r="Y94" s="25"/>
      <c r="Z94" s="25"/>
      <c r="AA94" s="25"/>
      <c r="AB94" s="25"/>
      <c r="AC94" s="25"/>
      <c r="AD94" s="24"/>
      <c r="AE94" s="24"/>
      <c r="AF94" s="24"/>
      <c r="AG94" s="24"/>
      <c r="AH94" s="25"/>
      <c r="AI94" s="26"/>
      <c r="AJ94" s="25"/>
      <c r="AK94" s="31"/>
      <c r="AL94" s="24"/>
      <c r="AM94" s="24"/>
      <c r="AN94" s="24"/>
      <c r="AO94" s="24"/>
      <c r="AP94" s="27"/>
      <c r="AQ94" s="28"/>
      <c r="AR94" s="29"/>
      <c r="AS94" s="30"/>
      <c r="AV94" s="316"/>
      <c r="AW94" s="316"/>
      <c r="AX94" s="316"/>
      <c r="AY94" s="316"/>
      <c r="AZ94" s="315"/>
      <c r="BC94" s="261"/>
      <c r="BD94" s="261"/>
      <c r="BE94" s="261"/>
      <c r="BF94" s="261"/>
      <c r="BJ94" s="285">
        <f t="shared" si="6"/>
        <v>0</v>
      </c>
      <c r="BK94" s="285">
        <f t="shared" si="7"/>
        <v>0</v>
      </c>
      <c r="BM94" s="261">
        <f t="shared" si="8"/>
        <v>0</v>
      </c>
      <c r="BN94" s="261">
        <f t="shared" si="9"/>
        <v>0</v>
      </c>
    </row>
    <row r="95" spans="2:66" ht="22.9" hidden="1" customHeight="1" x14ac:dyDescent="0.25">
      <c r="B95" s="21"/>
      <c r="C95" s="171"/>
      <c r="D95" s="171"/>
      <c r="E95" s="152"/>
      <c r="F95" s="171"/>
      <c r="G95" s="171"/>
      <c r="H95" s="22"/>
      <c r="I95" s="172"/>
      <c r="J95" s="172"/>
      <c r="K95" s="171"/>
      <c r="L95" s="172"/>
      <c r="M95" s="172"/>
      <c r="N95" s="172"/>
      <c r="O95" s="172"/>
      <c r="P95" s="23"/>
      <c r="Q95" s="23"/>
      <c r="R95" s="172"/>
      <c r="S95" s="172"/>
      <c r="T95" s="172"/>
      <c r="U95" s="172"/>
      <c r="V95" s="20"/>
      <c r="W95" s="24"/>
      <c r="X95" s="24"/>
      <c r="Y95" s="25"/>
      <c r="Z95" s="25"/>
      <c r="AA95" s="25"/>
      <c r="AB95" s="25"/>
      <c r="AC95" s="25"/>
      <c r="AD95" s="24"/>
      <c r="AE95" s="24"/>
      <c r="AF95" s="24"/>
      <c r="AG95" s="24"/>
      <c r="AH95" s="25"/>
      <c r="AI95" s="26"/>
      <c r="AJ95" s="25"/>
      <c r="AK95" s="31"/>
      <c r="AL95" s="24"/>
      <c r="AM95" s="24"/>
      <c r="AN95" s="24"/>
      <c r="AO95" s="24"/>
      <c r="AP95" s="27"/>
      <c r="AQ95" s="28"/>
      <c r="AR95" s="29"/>
      <c r="AS95" s="30"/>
      <c r="AV95" s="316"/>
      <c r="AW95" s="316"/>
      <c r="AX95" s="316"/>
      <c r="AY95" s="316"/>
      <c r="AZ95" s="315"/>
      <c r="BC95" s="261"/>
      <c r="BD95" s="261"/>
      <c r="BE95" s="261"/>
      <c r="BF95" s="261"/>
      <c r="BJ95" s="285">
        <f t="shared" si="6"/>
        <v>0</v>
      </c>
      <c r="BK95" s="285">
        <f t="shared" si="7"/>
        <v>0</v>
      </c>
      <c r="BM95" s="261">
        <f t="shared" si="8"/>
        <v>0</v>
      </c>
      <c r="BN95" s="261">
        <f t="shared" si="9"/>
        <v>0</v>
      </c>
    </row>
    <row r="96" spans="2:66" ht="22.9" hidden="1" customHeight="1" x14ac:dyDescent="0.25">
      <c r="B96" s="21"/>
      <c r="C96" s="171"/>
      <c r="D96" s="171"/>
      <c r="E96" s="152"/>
      <c r="F96" s="171"/>
      <c r="G96" s="171"/>
      <c r="H96" s="22"/>
      <c r="I96" s="172"/>
      <c r="J96" s="172"/>
      <c r="K96" s="171"/>
      <c r="L96" s="172"/>
      <c r="M96" s="172"/>
      <c r="N96" s="172"/>
      <c r="O96" s="172"/>
      <c r="P96" s="23"/>
      <c r="Q96" s="23"/>
      <c r="R96" s="172"/>
      <c r="S96" s="172"/>
      <c r="T96" s="172"/>
      <c r="U96" s="172"/>
      <c r="V96" s="20"/>
      <c r="W96" s="24"/>
      <c r="X96" s="24"/>
      <c r="Y96" s="25"/>
      <c r="Z96" s="25"/>
      <c r="AA96" s="25"/>
      <c r="AB96" s="25"/>
      <c r="AC96" s="25"/>
      <c r="AD96" s="24"/>
      <c r="AE96" s="24"/>
      <c r="AF96" s="24"/>
      <c r="AG96" s="24"/>
      <c r="AH96" s="25"/>
      <c r="AI96" s="26"/>
      <c r="AJ96" s="25"/>
      <c r="AK96" s="31"/>
      <c r="AL96" s="24"/>
      <c r="AM96" s="24"/>
      <c r="AN96" s="24"/>
      <c r="AO96" s="24"/>
      <c r="AP96" s="27"/>
      <c r="AQ96" s="28"/>
      <c r="AR96" s="29"/>
      <c r="AS96" s="30"/>
      <c r="AV96" s="316"/>
      <c r="AW96" s="316"/>
      <c r="AX96" s="316"/>
      <c r="AY96" s="316"/>
      <c r="AZ96" s="315"/>
      <c r="BC96" s="261"/>
      <c r="BD96" s="261"/>
      <c r="BE96" s="261"/>
      <c r="BF96" s="261"/>
      <c r="BJ96" s="285">
        <f t="shared" si="6"/>
        <v>0</v>
      </c>
      <c r="BK96" s="285">
        <f t="shared" si="7"/>
        <v>0</v>
      </c>
      <c r="BM96" s="261">
        <f t="shared" si="8"/>
        <v>0</v>
      </c>
      <c r="BN96" s="261">
        <f t="shared" si="9"/>
        <v>0</v>
      </c>
    </row>
    <row r="97" spans="1:66" ht="22.9" hidden="1" customHeight="1" x14ac:dyDescent="0.25">
      <c r="B97" s="21"/>
      <c r="C97" s="171"/>
      <c r="D97" s="171"/>
      <c r="E97" s="171"/>
      <c r="F97" s="171"/>
      <c r="G97" s="171"/>
      <c r="H97" s="22"/>
      <c r="I97" s="172"/>
      <c r="J97" s="172"/>
      <c r="K97" s="171"/>
      <c r="L97" s="172"/>
      <c r="M97" s="172"/>
      <c r="N97" s="172"/>
      <c r="O97" s="172"/>
      <c r="P97" s="23"/>
      <c r="Q97" s="23"/>
      <c r="R97" s="172"/>
      <c r="S97" s="172"/>
      <c r="T97" s="172"/>
      <c r="U97" s="172"/>
      <c r="V97" s="20"/>
      <c r="W97" s="24"/>
      <c r="X97" s="24"/>
      <c r="Y97" s="24"/>
      <c r="Z97" s="24"/>
      <c r="AA97" s="24"/>
      <c r="AB97" s="24"/>
      <c r="AC97" s="24"/>
      <c r="AD97" s="24"/>
      <c r="AE97" s="24"/>
      <c r="AF97" s="24"/>
      <c r="AG97" s="24"/>
      <c r="AH97" s="25"/>
      <c r="AI97" s="26"/>
      <c r="AJ97" s="25"/>
      <c r="AK97" s="31"/>
      <c r="AL97" s="24"/>
      <c r="AM97" s="24"/>
      <c r="AN97" s="24"/>
      <c r="AO97" s="24"/>
      <c r="AP97" s="27"/>
      <c r="AQ97" s="28"/>
      <c r="AR97" s="29"/>
      <c r="AS97" s="30"/>
      <c r="AV97" s="316"/>
      <c r="AW97" s="316"/>
      <c r="AX97" s="316"/>
      <c r="AY97" s="316"/>
      <c r="AZ97" s="315"/>
      <c r="BC97" s="261"/>
      <c r="BD97" s="261"/>
      <c r="BE97" s="261"/>
      <c r="BF97" s="261"/>
      <c r="BJ97" s="285">
        <f t="shared" si="6"/>
        <v>0</v>
      </c>
      <c r="BK97" s="285">
        <f t="shared" si="7"/>
        <v>0</v>
      </c>
      <c r="BM97" s="261">
        <f t="shared" si="8"/>
        <v>0</v>
      </c>
      <c r="BN97" s="261">
        <f t="shared" si="9"/>
        <v>0</v>
      </c>
    </row>
    <row r="98" spans="1:66" ht="22.9" hidden="1" customHeight="1" x14ac:dyDescent="0.25">
      <c r="C98" s="171"/>
      <c r="D98" s="131"/>
      <c r="E98" s="152"/>
      <c r="F98" s="176"/>
      <c r="G98" s="171"/>
      <c r="H98" s="22"/>
      <c r="I98" s="220"/>
      <c r="J98" s="172"/>
      <c r="K98" s="171"/>
      <c r="L98" s="172"/>
      <c r="M98" s="172"/>
      <c r="N98" s="172"/>
      <c r="O98" s="172"/>
      <c r="P98" s="23"/>
      <c r="Q98" s="23"/>
      <c r="R98" s="172"/>
      <c r="S98" s="172"/>
      <c r="T98" s="172"/>
      <c r="U98" s="172"/>
      <c r="V98" s="20"/>
      <c r="W98" s="24"/>
      <c r="X98" s="24"/>
      <c r="Y98" s="24"/>
      <c r="Z98" s="24"/>
      <c r="AA98" s="24"/>
      <c r="AB98" s="24"/>
      <c r="AC98" s="24"/>
      <c r="AD98" s="24"/>
      <c r="AE98" s="24"/>
      <c r="AF98" s="24"/>
      <c r="AG98" s="24"/>
      <c r="AH98" s="25"/>
      <c r="AI98" s="26"/>
      <c r="AJ98" s="25"/>
      <c r="AK98" s="31"/>
      <c r="AL98" s="24"/>
      <c r="AM98" s="24"/>
      <c r="AN98" s="24"/>
      <c r="AO98" s="24"/>
      <c r="AP98" s="27"/>
      <c r="AQ98" s="28"/>
      <c r="AR98" s="29"/>
      <c r="AS98" s="30"/>
      <c r="AV98" s="316"/>
      <c r="AW98" s="316"/>
      <c r="AX98" s="316"/>
      <c r="AY98" s="316"/>
      <c r="AZ98" s="315"/>
      <c r="BC98" s="261"/>
      <c r="BD98" s="261"/>
      <c r="BE98" s="261"/>
      <c r="BF98" s="261"/>
      <c r="BJ98" s="285">
        <f t="shared" si="6"/>
        <v>0</v>
      </c>
      <c r="BK98" s="285">
        <f t="shared" si="7"/>
        <v>0</v>
      </c>
      <c r="BM98" s="261">
        <f t="shared" si="8"/>
        <v>0</v>
      </c>
      <c r="BN98" s="261">
        <f t="shared" si="9"/>
        <v>0</v>
      </c>
    </row>
    <row r="99" spans="1:66" ht="22.9" hidden="1" customHeight="1" x14ac:dyDescent="0.25">
      <c r="A99" s="180"/>
      <c r="C99" s="171"/>
      <c r="D99" s="171"/>
      <c r="E99" s="152"/>
      <c r="F99" s="176"/>
      <c r="G99" s="171"/>
      <c r="H99" s="22"/>
      <c r="I99" s="220"/>
      <c r="J99" s="172"/>
      <c r="K99" s="171"/>
      <c r="L99" s="172"/>
      <c r="M99" s="172"/>
      <c r="N99" s="172"/>
      <c r="O99" s="172"/>
      <c r="P99" s="23"/>
      <c r="Q99" s="23"/>
      <c r="R99" s="172"/>
      <c r="S99" s="172"/>
      <c r="T99" s="172"/>
      <c r="U99" s="172"/>
      <c r="V99" s="20"/>
      <c r="W99" s="24"/>
      <c r="X99" s="24"/>
      <c r="Y99" s="25"/>
      <c r="Z99" s="25"/>
      <c r="AA99" s="25"/>
      <c r="AB99" s="25"/>
      <c r="AC99" s="25"/>
      <c r="AD99" s="24"/>
      <c r="AE99" s="24"/>
      <c r="AF99" s="24"/>
      <c r="AG99" s="24"/>
      <c r="AH99" s="25"/>
      <c r="AI99" s="26"/>
      <c r="AJ99" s="25"/>
      <c r="AK99" s="31"/>
      <c r="AL99" s="24"/>
      <c r="AM99" s="24"/>
      <c r="AN99" s="24"/>
      <c r="AO99" s="24"/>
      <c r="AP99" s="27"/>
      <c r="AQ99" s="28"/>
      <c r="AR99" s="29"/>
      <c r="AS99" s="30"/>
      <c r="AV99" s="316"/>
      <c r="AW99" s="316"/>
      <c r="AX99" s="316"/>
      <c r="AY99" s="316"/>
      <c r="AZ99" s="315"/>
      <c r="BC99" s="261"/>
      <c r="BD99" s="261"/>
      <c r="BE99" s="261"/>
      <c r="BF99" s="261"/>
      <c r="BJ99" s="285">
        <f t="shared" si="6"/>
        <v>0</v>
      </c>
      <c r="BK99" s="285">
        <f t="shared" si="7"/>
        <v>0</v>
      </c>
      <c r="BM99" s="261">
        <f t="shared" si="8"/>
        <v>0</v>
      </c>
      <c r="BN99" s="261">
        <f t="shared" si="9"/>
        <v>0</v>
      </c>
    </row>
    <row r="100" spans="1:66" ht="22.9" hidden="1" customHeight="1" x14ac:dyDescent="0.25">
      <c r="C100" s="171"/>
      <c r="D100" s="171"/>
      <c r="E100" s="152"/>
      <c r="F100" s="176"/>
      <c r="G100" s="171"/>
      <c r="H100" s="22"/>
      <c r="I100" s="220"/>
      <c r="J100" s="172"/>
      <c r="K100" s="171"/>
      <c r="L100" s="172"/>
      <c r="M100" s="172"/>
      <c r="N100" s="172"/>
      <c r="O100" s="172"/>
      <c r="P100" s="23"/>
      <c r="Q100" s="23"/>
      <c r="R100" s="172"/>
      <c r="S100" s="172"/>
      <c r="T100" s="172"/>
      <c r="U100" s="172"/>
      <c r="V100" s="20"/>
      <c r="W100" s="24"/>
      <c r="X100" s="24"/>
      <c r="Y100" s="25"/>
      <c r="Z100" s="25"/>
      <c r="AA100" s="25"/>
      <c r="AB100" s="25"/>
      <c r="AC100" s="25"/>
      <c r="AD100" s="24"/>
      <c r="AE100" s="24"/>
      <c r="AF100" s="24"/>
      <c r="AG100" s="24"/>
      <c r="AH100" s="25"/>
      <c r="AI100" s="26"/>
      <c r="AJ100" s="25"/>
      <c r="AK100" s="31"/>
      <c r="AL100" s="24"/>
      <c r="AM100" s="24"/>
      <c r="AN100" s="24"/>
      <c r="AO100" s="24"/>
      <c r="AP100" s="27"/>
      <c r="AQ100" s="28"/>
      <c r="AR100" s="29"/>
      <c r="AS100" s="30"/>
      <c r="AV100" s="316"/>
      <c r="AW100" s="316"/>
      <c r="AX100" s="316"/>
      <c r="AY100" s="316"/>
      <c r="AZ100" s="315"/>
      <c r="BC100" s="261"/>
      <c r="BD100" s="261"/>
      <c r="BE100" s="261"/>
      <c r="BF100" s="261"/>
      <c r="BJ100" s="285">
        <f t="shared" si="6"/>
        <v>0</v>
      </c>
      <c r="BK100" s="285">
        <f t="shared" si="7"/>
        <v>0</v>
      </c>
      <c r="BM100" s="261">
        <f t="shared" si="8"/>
        <v>0</v>
      </c>
      <c r="BN100" s="261">
        <f t="shared" si="9"/>
        <v>0</v>
      </c>
    </row>
    <row r="101" spans="1:66" ht="22.9" hidden="1" customHeight="1" x14ac:dyDescent="0.25">
      <c r="C101" s="171"/>
      <c r="D101" s="171"/>
      <c r="E101" s="152"/>
      <c r="F101" s="176"/>
      <c r="G101" s="171"/>
      <c r="H101" s="22"/>
      <c r="I101" s="220"/>
      <c r="J101" s="172"/>
      <c r="K101" s="171"/>
      <c r="L101" s="172"/>
      <c r="M101" s="172"/>
      <c r="N101" s="172"/>
      <c r="O101" s="172"/>
      <c r="P101" s="23"/>
      <c r="Q101" s="23"/>
      <c r="R101" s="172"/>
      <c r="S101" s="172"/>
      <c r="T101" s="172"/>
      <c r="U101" s="172"/>
      <c r="V101" s="20"/>
      <c r="W101" s="24"/>
      <c r="X101" s="24"/>
      <c r="Y101" s="25"/>
      <c r="Z101" s="25"/>
      <c r="AA101" s="25"/>
      <c r="AB101" s="25"/>
      <c r="AC101" s="25"/>
      <c r="AD101" s="24"/>
      <c r="AE101" s="24"/>
      <c r="AF101" s="24"/>
      <c r="AG101" s="24"/>
      <c r="AH101" s="25"/>
      <c r="AI101" s="26"/>
      <c r="AJ101" s="25"/>
      <c r="AK101" s="31"/>
      <c r="AL101" s="24"/>
      <c r="AM101" s="24"/>
      <c r="AN101" s="24"/>
      <c r="AO101" s="24"/>
      <c r="AP101" s="27"/>
      <c r="AQ101" s="28"/>
      <c r="AR101" s="29"/>
      <c r="AS101" s="30"/>
      <c r="AV101" s="316"/>
      <c r="AW101" s="316"/>
      <c r="AX101" s="316"/>
      <c r="AY101" s="316"/>
      <c r="AZ101" s="315"/>
      <c r="BC101" s="261"/>
      <c r="BD101" s="261"/>
      <c r="BE101" s="261"/>
      <c r="BF101" s="261"/>
      <c r="BJ101" s="285">
        <f t="shared" si="6"/>
        <v>0</v>
      </c>
      <c r="BK101" s="285">
        <f t="shared" si="7"/>
        <v>0</v>
      </c>
      <c r="BM101" s="261">
        <f t="shared" si="8"/>
        <v>0</v>
      </c>
      <c r="BN101" s="261">
        <f t="shared" si="9"/>
        <v>0</v>
      </c>
    </row>
    <row r="102" spans="1:66" ht="22.9" hidden="1" customHeight="1" x14ac:dyDescent="0.25">
      <c r="C102" s="171"/>
      <c r="D102" s="171"/>
      <c r="E102" s="152"/>
      <c r="F102" s="176"/>
      <c r="G102" s="171"/>
      <c r="H102" s="22"/>
      <c r="I102" s="220"/>
      <c r="J102" s="172"/>
      <c r="K102" s="171"/>
      <c r="L102" s="172"/>
      <c r="M102" s="172"/>
      <c r="N102" s="172"/>
      <c r="O102" s="172"/>
      <c r="P102" s="23"/>
      <c r="Q102" s="23"/>
      <c r="R102" s="172"/>
      <c r="S102" s="172"/>
      <c r="T102" s="172"/>
      <c r="U102" s="172"/>
      <c r="V102" s="20"/>
      <c r="W102" s="24"/>
      <c r="X102" s="24"/>
      <c r="Y102" s="25"/>
      <c r="Z102" s="25"/>
      <c r="AA102" s="25"/>
      <c r="AB102" s="25"/>
      <c r="AC102" s="25"/>
      <c r="AD102" s="24"/>
      <c r="AE102" s="24"/>
      <c r="AF102" s="24"/>
      <c r="AG102" s="24"/>
      <c r="AH102" s="25"/>
      <c r="AI102" s="26"/>
      <c r="AJ102" s="25"/>
      <c r="AK102" s="31"/>
      <c r="AL102" s="24"/>
      <c r="AM102" s="24"/>
      <c r="AN102" s="24"/>
      <c r="AO102" s="24"/>
      <c r="AP102" s="27"/>
      <c r="AQ102" s="28"/>
      <c r="AR102" s="29"/>
      <c r="AS102" s="30"/>
      <c r="AV102" s="316"/>
      <c r="AW102" s="316"/>
      <c r="AX102" s="316"/>
      <c r="AY102" s="316"/>
      <c r="AZ102" s="315"/>
      <c r="BC102" s="261"/>
      <c r="BD102" s="261"/>
      <c r="BE102" s="261"/>
      <c r="BF102" s="261"/>
      <c r="BJ102" s="285">
        <f t="shared" si="6"/>
        <v>0</v>
      </c>
      <c r="BK102" s="285">
        <f t="shared" si="7"/>
        <v>0</v>
      </c>
      <c r="BM102" s="261">
        <f t="shared" si="8"/>
        <v>0</v>
      </c>
      <c r="BN102" s="261">
        <f t="shared" si="9"/>
        <v>0</v>
      </c>
    </row>
    <row r="103" spans="1:66" ht="22.9" hidden="1" customHeight="1" x14ac:dyDescent="0.25">
      <c r="C103" s="171"/>
      <c r="D103" s="171"/>
      <c r="E103" s="152"/>
      <c r="F103" s="176"/>
      <c r="G103" s="171"/>
      <c r="H103" s="22"/>
      <c r="I103" s="220"/>
      <c r="J103" s="172"/>
      <c r="K103" s="171"/>
      <c r="L103" s="172"/>
      <c r="M103" s="172"/>
      <c r="N103" s="172"/>
      <c r="O103" s="172"/>
      <c r="P103" s="23"/>
      <c r="Q103" s="23"/>
      <c r="R103" s="172"/>
      <c r="S103" s="172"/>
      <c r="T103" s="172"/>
      <c r="U103" s="172"/>
      <c r="V103" s="20"/>
      <c r="W103" s="24"/>
      <c r="X103" s="24"/>
      <c r="Y103" s="25"/>
      <c r="Z103" s="25"/>
      <c r="AA103" s="25"/>
      <c r="AB103" s="25"/>
      <c r="AC103" s="25"/>
      <c r="AD103" s="24"/>
      <c r="AE103" s="24"/>
      <c r="AF103" s="24"/>
      <c r="AG103" s="24"/>
      <c r="AH103" s="25"/>
      <c r="AI103" s="26"/>
      <c r="AJ103" s="25"/>
      <c r="AK103" s="31"/>
      <c r="AL103" s="24"/>
      <c r="AM103" s="24"/>
      <c r="AN103" s="24"/>
      <c r="AO103" s="24"/>
      <c r="AP103" s="27"/>
      <c r="AQ103" s="28"/>
      <c r="AR103" s="29"/>
      <c r="AS103" s="30"/>
      <c r="AV103" s="316"/>
      <c r="AW103" s="316"/>
      <c r="AX103" s="316"/>
      <c r="AY103" s="316"/>
      <c r="AZ103" s="315"/>
      <c r="BC103" s="261"/>
      <c r="BD103" s="261"/>
      <c r="BE103" s="261"/>
      <c r="BF103" s="261"/>
      <c r="BJ103" s="285">
        <f t="shared" si="6"/>
        <v>0</v>
      </c>
      <c r="BK103" s="285">
        <f t="shared" si="7"/>
        <v>0</v>
      </c>
      <c r="BM103" s="261">
        <f t="shared" si="8"/>
        <v>0</v>
      </c>
      <c r="BN103" s="261">
        <f t="shared" si="9"/>
        <v>0</v>
      </c>
    </row>
    <row r="104" spans="1:66" ht="22.9" hidden="1" customHeight="1" x14ac:dyDescent="0.25">
      <c r="C104" s="171"/>
      <c r="D104" s="171"/>
      <c r="E104" s="152"/>
      <c r="F104" s="176"/>
      <c r="G104" s="171"/>
      <c r="H104" s="22"/>
      <c r="I104" s="220"/>
      <c r="J104" s="172"/>
      <c r="K104" s="171"/>
      <c r="L104" s="172"/>
      <c r="M104" s="172"/>
      <c r="N104" s="172"/>
      <c r="O104" s="172"/>
      <c r="P104" s="23"/>
      <c r="Q104" s="23"/>
      <c r="R104" s="172"/>
      <c r="S104" s="172"/>
      <c r="T104" s="172"/>
      <c r="U104" s="172"/>
      <c r="V104" s="20"/>
      <c r="W104" s="24"/>
      <c r="X104" s="24"/>
      <c r="Y104" s="25"/>
      <c r="Z104" s="25"/>
      <c r="AA104" s="25"/>
      <c r="AB104" s="25"/>
      <c r="AC104" s="25"/>
      <c r="AD104" s="24"/>
      <c r="AE104" s="24"/>
      <c r="AF104" s="24"/>
      <c r="AG104" s="24"/>
      <c r="AH104" s="25"/>
      <c r="AI104" s="26"/>
      <c r="AJ104" s="25"/>
      <c r="AK104" s="31"/>
      <c r="AL104" s="24"/>
      <c r="AM104" s="24"/>
      <c r="AN104" s="24"/>
      <c r="AO104" s="24"/>
      <c r="AP104" s="27"/>
      <c r="AQ104" s="28"/>
      <c r="AR104" s="29"/>
      <c r="AS104" s="30"/>
      <c r="AV104" s="316"/>
      <c r="AW104" s="316"/>
      <c r="AX104" s="316"/>
      <c r="AY104" s="316"/>
      <c r="AZ104" s="315"/>
      <c r="BC104" s="261"/>
      <c r="BD104" s="261"/>
      <c r="BE104" s="261"/>
      <c r="BF104" s="261"/>
      <c r="BJ104" s="285">
        <f t="shared" si="6"/>
        <v>0</v>
      </c>
      <c r="BK104" s="285">
        <f t="shared" si="7"/>
        <v>0</v>
      </c>
      <c r="BM104" s="261">
        <f t="shared" si="8"/>
        <v>0</v>
      </c>
      <c r="BN104" s="261">
        <f t="shared" si="9"/>
        <v>0</v>
      </c>
    </row>
    <row r="105" spans="1:66" ht="22.9" hidden="1" customHeight="1" x14ac:dyDescent="0.25">
      <c r="C105" s="171"/>
      <c r="D105" s="171"/>
      <c r="E105" s="152"/>
      <c r="F105" s="176"/>
      <c r="G105" s="171"/>
      <c r="H105" s="22"/>
      <c r="I105" s="220"/>
      <c r="J105" s="172"/>
      <c r="K105" s="171"/>
      <c r="L105" s="172"/>
      <c r="M105" s="172"/>
      <c r="N105" s="172"/>
      <c r="O105" s="172"/>
      <c r="P105" s="23"/>
      <c r="Q105" s="23"/>
      <c r="R105" s="172"/>
      <c r="S105" s="172"/>
      <c r="T105" s="172"/>
      <c r="U105" s="172"/>
      <c r="V105" s="20"/>
      <c r="W105" s="24"/>
      <c r="X105" s="24"/>
      <c r="Y105" s="25"/>
      <c r="Z105" s="25"/>
      <c r="AA105" s="25"/>
      <c r="AB105" s="25"/>
      <c r="AC105" s="25"/>
      <c r="AD105" s="24"/>
      <c r="AE105" s="24"/>
      <c r="AF105" s="24"/>
      <c r="AG105" s="24"/>
      <c r="AH105" s="25"/>
      <c r="AI105" s="26"/>
      <c r="AJ105" s="25"/>
      <c r="AK105" s="31"/>
      <c r="AL105" s="24"/>
      <c r="AM105" s="24"/>
      <c r="AN105" s="24"/>
      <c r="AO105" s="24"/>
      <c r="AP105" s="27"/>
      <c r="AQ105" s="28"/>
      <c r="AR105" s="29"/>
      <c r="AS105" s="30"/>
      <c r="AV105" s="316"/>
      <c r="AW105" s="316"/>
      <c r="AX105" s="316"/>
      <c r="AY105" s="316"/>
      <c r="AZ105" s="315"/>
      <c r="BC105" s="261"/>
      <c r="BD105" s="261"/>
      <c r="BE105" s="261"/>
      <c r="BF105" s="261"/>
      <c r="BJ105" s="285">
        <f t="shared" si="6"/>
        <v>0</v>
      </c>
      <c r="BK105" s="285">
        <f t="shared" si="7"/>
        <v>0</v>
      </c>
      <c r="BM105" s="261">
        <f t="shared" si="8"/>
        <v>0</v>
      </c>
      <c r="BN105" s="261">
        <f t="shared" si="9"/>
        <v>0</v>
      </c>
    </row>
    <row r="106" spans="1:66" ht="22.9" hidden="1" customHeight="1" x14ac:dyDescent="0.25">
      <c r="C106" s="171"/>
      <c r="D106" s="171"/>
      <c r="E106" s="152"/>
      <c r="F106" s="176"/>
      <c r="G106" s="171"/>
      <c r="H106" s="22"/>
      <c r="I106" s="220"/>
      <c r="J106" s="172"/>
      <c r="K106" s="171"/>
      <c r="L106" s="172"/>
      <c r="M106" s="172"/>
      <c r="N106" s="172"/>
      <c r="O106" s="172"/>
      <c r="P106" s="23"/>
      <c r="Q106" s="23"/>
      <c r="R106" s="172"/>
      <c r="S106" s="172"/>
      <c r="T106" s="172"/>
      <c r="U106" s="172"/>
      <c r="V106" s="20"/>
      <c r="W106" s="24"/>
      <c r="X106" s="24"/>
      <c r="Y106" s="25"/>
      <c r="Z106" s="25"/>
      <c r="AA106" s="25"/>
      <c r="AB106" s="25"/>
      <c r="AC106" s="25"/>
      <c r="AD106" s="24"/>
      <c r="AE106" s="24"/>
      <c r="AF106" s="24"/>
      <c r="AG106" s="24"/>
      <c r="AH106" s="25"/>
      <c r="AI106" s="26"/>
      <c r="AJ106" s="25"/>
      <c r="AK106" s="31"/>
      <c r="AL106" s="24"/>
      <c r="AM106" s="24"/>
      <c r="AN106" s="24"/>
      <c r="AO106" s="24"/>
      <c r="AP106" s="27"/>
      <c r="AQ106" s="28"/>
      <c r="AR106" s="29"/>
      <c r="AS106" s="30"/>
      <c r="AV106" s="316"/>
      <c r="AW106" s="316"/>
      <c r="AX106" s="316"/>
      <c r="AY106" s="316"/>
      <c r="AZ106" s="315"/>
      <c r="BC106" s="261"/>
      <c r="BD106" s="261"/>
      <c r="BE106" s="261"/>
      <c r="BF106" s="261"/>
      <c r="BJ106" s="285">
        <f t="shared" ref="BJ106:BJ169" si="10">+IF(((R106+S106)/2)&lt;3.5,AJ106,0)</f>
        <v>0</v>
      </c>
      <c r="BK106" s="285">
        <f t="shared" ref="BK106:BK169" si="11">+IF(((R106+S106)/2)&gt;3.5,AJ106,0)</f>
        <v>0</v>
      </c>
      <c r="BM106" s="261">
        <f t="shared" ref="BM106:BM169" si="12">+IF(((R106+S106)/2)&lt;4.5,AS106,0)</f>
        <v>0</v>
      </c>
      <c r="BN106" s="261">
        <f t="shared" ref="BN106:BN169" si="13">+IF(((R106+S106)/2)&gt;4.5,AS106,0)</f>
        <v>0</v>
      </c>
    </row>
    <row r="107" spans="1:66" ht="22.9" hidden="1" customHeight="1" x14ac:dyDescent="0.25">
      <c r="C107" s="171"/>
      <c r="D107" s="171"/>
      <c r="E107" s="152"/>
      <c r="F107" s="176"/>
      <c r="G107" s="171"/>
      <c r="H107" s="22"/>
      <c r="I107" s="220"/>
      <c r="J107" s="172"/>
      <c r="K107" s="171"/>
      <c r="L107" s="172"/>
      <c r="M107" s="172"/>
      <c r="N107" s="172"/>
      <c r="O107" s="172"/>
      <c r="P107" s="23"/>
      <c r="Q107" s="23"/>
      <c r="R107" s="172"/>
      <c r="S107" s="172"/>
      <c r="T107" s="172"/>
      <c r="U107" s="172"/>
      <c r="V107" s="20"/>
      <c r="W107" s="24"/>
      <c r="X107" s="24"/>
      <c r="Y107" s="25"/>
      <c r="Z107" s="25"/>
      <c r="AA107" s="25"/>
      <c r="AB107" s="25"/>
      <c r="AC107" s="25"/>
      <c r="AD107" s="24"/>
      <c r="AE107" s="24"/>
      <c r="AF107" s="24"/>
      <c r="AG107" s="24"/>
      <c r="AH107" s="25"/>
      <c r="AI107" s="26"/>
      <c r="AJ107" s="25"/>
      <c r="AK107" s="31"/>
      <c r="AL107" s="24"/>
      <c r="AM107" s="24"/>
      <c r="AN107" s="24"/>
      <c r="AO107" s="24"/>
      <c r="AP107" s="27"/>
      <c r="AQ107" s="28"/>
      <c r="AR107" s="29"/>
      <c r="AS107" s="30"/>
      <c r="AV107" s="316"/>
      <c r="AW107" s="316"/>
      <c r="AX107" s="316"/>
      <c r="AY107" s="316"/>
      <c r="AZ107" s="315"/>
      <c r="BC107" s="261"/>
      <c r="BD107" s="261"/>
      <c r="BE107" s="261"/>
      <c r="BF107" s="261"/>
      <c r="BJ107" s="285">
        <f t="shared" si="10"/>
        <v>0</v>
      </c>
      <c r="BK107" s="285">
        <f t="shared" si="11"/>
        <v>0</v>
      </c>
      <c r="BM107" s="261">
        <f t="shared" si="12"/>
        <v>0</v>
      </c>
      <c r="BN107" s="261">
        <f t="shared" si="13"/>
        <v>0</v>
      </c>
    </row>
    <row r="108" spans="1:66" ht="22.9" hidden="1" customHeight="1" x14ac:dyDescent="0.25">
      <c r="C108" s="171"/>
      <c r="D108" s="171"/>
      <c r="E108" s="152"/>
      <c r="F108" s="176"/>
      <c r="G108" s="171"/>
      <c r="H108" s="22"/>
      <c r="I108" s="220"/>
      <c r="J108" s="172"/>
      <c r="K108" s="171"/>
      <c r="L108" s="172"/>
      <c r="M108" s="172"/>
      <c r="N108" s="172"/>
      <c r="O108" s="172"/>
      <c r="P108" s="23"/>
      <c r="Q108" s="23"/>
      <c r="R108" s="172"/>
      <c r="S108" s="172"/>
      <c r="T108" s="172"/>
      <c r="U108" s="172"/>
      <c r="V108" s="20"/>
      <c r="W108" s="24"/>
      <c r="X108" s="24"/>
      <c r="Y108" s="25"/>
      <c r="Z108" s="25"/>
      <c r="AA108" s="25"/>
      <c r="AB108" s="25"/>
      <c r="AC108" s="25"/>
      <c r="AD108" s="24"/>
      <c r="AE108" s="24"/>
      <c r="AF108" s="24"/>
      <c r="AG108" s="24"/>
      <c r="AH108" s="25"/>
      <c r="AI108" s="26"/>
      <c r="AJ108" s="25"/>
      <c r="AK108" s="31"/>
      <c r="AL108" s="24"/>
      <c r="AM108" s="24"/>
      <c r="AN108" s="24"/>
      <c r="AO108" s="24"/>
      <c r="AP108" s="27"/>
      <c r="AQ108" s="28"/>
      <c r="AR108" s="29"/>
      <c r="AS108" s="30"/>
      <c r="AV108" s="316"/>
      <c r="AW108" s="316"/>
      <c r="AX108" s="316"/>
      <c r="AY108" s="316"/>
      <c r="AZ108" s="315"/>
      <c r="BC108" s="261"/>
      <c r="BD108" s="261"/>
      <c r="BE108" s="261"/>
      <c r="BF108" s="261"/>
      <c r="BJ108" s="285">
        <f t="shared" si="10"/>
        <v>0</v>
      </c>
      <c r="BK108" s="285">
        <f t="shared" si="11"/>
        <v>0</v>
      </c>
      <c r="BM108" s="261">
        <f t="shared" si="12"/>
        <v>0</v>
      </c>
      <c r="BN108" s="261">
        <f t="shared" si="13"/>
        <v>0</v>
      </c>
    </row>
    <row r="109" spans="1:66" ht="22.9" hidden="1" customHeight="1" x14ac:dyDescent="0.25">
      <c r="C109" s="171"/>
      <c r="D109" s="171"/>
      <c r="E109" s="152"/>
      <c r="F109" s="176"/>
      <c r="G109" s="171"/>
      <c r="H109" s="22"/>
      <c r="I109" s="220"/>
      <c r="J109" s="172"/>
      <c r="K109" s="171"/>
      <c r="L109" s="172"/>
      <c r="M109" s="172"/>
      <c r="N109" s="172"/>
      <c r="O109" s="172"/>
      <c r="P109" s="23"/>
      <c r="Q109" s="23"/>
      <c r="R109" s="172"/>
      <c r="S109" s="172"/>
      <c r="T109" s="172"/>
      <c r="U109" s="172"/>
      <c r="V109" s="20"/>
      <c r="W109" s="24"/>
      <c r="X109" s="24"/>
      <c r="Y109" s="25"/>
      <c r="Z109" s="25"/>
      <c r="AA109" s="25"/>
      <c r="AB109" s="25"/>
      <c r="AC109" s="25"/>
      <c r="AD109" s="24"/>
      <c r="AE109" s="24"/>
      <c r="AF109" s="24"/>
      <c r="AG109" s="24"/>
      <c r="AH109" s="25"/>
      <c r="AI109" s="26"/>
      <c r="AJ109" s="25"/>
      <c r="AK109" s="31"/>
      <c r="AL109" s="24"/>
      <c r="AM109" s="24"/>
      <c r="AN109" s="24"/>
      <c r="AO109" s="24"/>
      <c r="AP109" s="27"/>
      <c r="AQ109" s="28"/>
      <c r="AR109" s="29"/>
      <c r="AS109" s="30"/>
      <c r="AV109" s="316"/>
      <c r="AW109" s="316"/>
      <c r="AX109" s="316"/>
      <c r="AY109" s="316"/>
      <c r="AZ109" s="315"/>
      <c r="BC109" s="261"/>
      <c r="BD109" s="261"/>
      <c r="BE109" s="261"/>
      <c r="BF109" s="261"/>
      <c r="BJ109" s="285">
        <f t="shared" si="10"/>
        <v>0</v>
      </c>
      <c r="BK109" s="285">
        <f t="shared" si="11"/>
        <v>0</v>
      </c>
      <c r="BM109" s="261">
        <f t="shared" si="12"/>
        <v>0</v>
      </c>
      <c r="BN109" s="261">
        <f t="shared" si="13"/>
        <v>0</v>
      </c>
    </row>
    <row r="110" spans="1:66" ht="22.9" hidden="1" customHeight="1" x14ac:dyDescent="0.25">
      <c r="C110" s="171"/>
      <c r="D110" s="171"/>
      <c r="E110" s="152"/>
      <c r="F110" s="176"/>
      <c r="G110" s="171"/>
      <c r="H110" s="22"/>
      <c r="I110" s="220"/>
      <c r="J110" s="172"/>
      <c r="K110" s="171"/>
      <c r="L110" s="172"/>
      <c r="M110" s="172"/>
      <c r="N110" s="172"/>
      <c r="O110" s="172"/>
      <c r="P110" s="23"/>
      <c r="Q110" s="23"/>
      <c r="R110" s="172"/>
      <c r="S110" s="172"/>
      <c r="T110" s="172"/>
      <c r="U110" s="172"/>
      <c r="V110" s="20"/>
      <c r="W110" s="24"/>
      <c r="X110" s="24"/>
      <c r="Y110" s="25"/>
      <c r="Z110" s="25"/>
      <c r="AA110" s="25"/>
      <c r="AB110" s="25"/>
      <c r="AC110" s="25"/>
      <c r="AD110" s="24"/>
      <c r="AE110" s="24"/>
      <c r="AF110" s="24"/>
      <c r="AG110" s="24"/>
      <c r="AH110" s="25"/>
      <c r="AI110" s="26"/>
      <c r="AJ110" s="25"/>
      <c r="AK110" s="31"/>
      <c r="AL110" s="24"/>
      <c r="AM110" s="24"/>
      <c r="AN110" s="24"/>
      <c r="AO110" s="24"/>
      <c r="AP110" s="27"/>
      <c r="AQ110" s="28"/>
      <c r="AR110" s="29"/>
      <c r="AS110" s="30"/>
      <c r="AV110" s="316"/>
      <c r="AW110" s="316"/>
      <c r="AX110" s="316"/>
      <c r="AY110" s="316"/>
      <c r="AZ110" s="315"/>
      <c r="BC110" s="261"/>
      <c r="BD110" s="261"/>
      <c r="BE110" s="261"/>
      <c r="BF110" s="261"/>
      <c r="BJ110" s="285">
        <f t="shared" si="10"/>
        <v>0</v>
      </c>
      <c r="BK110" s="285">
        <f t="shared" si="11"/>
        <v>0</v>
      </c>
      <c r="BM110" s="261">
        <f t="shared" si="12"/>
        <v>0</v>
      </c>
      <c r="BN110" s="261">
        <f t="shared" si="13"/>
        <v>0</v>
      </c>
    </row>
    <row r="111" spans="1:66" ht="22.9" hidden="1" customHeight="1" x14ac:dyDescent="0.25">
      <c r="C111" s="171"/>
      <c r="D111" s="171"/>
      <c r="E111" s="152"/>
      <c r="F111" s="176"/>
      <c r="G111" s="171"/>
      <c r="H111" s="22"/>
      <c r="I111" s="220"/>
      <c r="J111" s="172"/>
      <c r="K111" s="171"/>
      <c r="L111" s="172"/>
      <c r="M111" s="172"/>
      <c r="N111" s="172"/>
      <c r="O111" s="172"/>
      <c r="P111" s="23"/>
      <c r="Q111" s="23"/>
      <c r="R111" s="172"/>
      <c r="S111" s="172"/>
      <c r="T111" s="172"/>
      <c r="U111" s="172"/>
      <c r="V111" s="20"/>
      <c r="W111" s="24"/>
      <c r="X111" s="24"/>
      <c r="Y111" s="25"/>
      <c r="Z111" s="25"/>
      <c r="AA111" s="25"/>
      <c r="AB111" s="25"/>
      <c r="AC111" s="25"/>
      <c r="AD111" s="24"/>
      <c r="AE111" s="24"/>
      <c r="AF111" s="24"/>
      <c r="AG111" s="24"/>
      <c r="AH111" s="25"/>
      <c r="AI111" s="26"/>
      <c r="AJ111" s="25"/>
      <c r="AK111" s="31"/>
      <c r="AL111" s="24"/>
      <c r="AM111" s="24"/>
      <c r="AN111" s="24"/>
      <c r="AO111" s="24"/>
      <c r="AP111" s="27"/>
      <c r="AQ111" s="28"/>
      <c r="AR111" s="29"/>
      <c r="AS111" s="30"/>
      <c r="AV111" s="316"/>
      <c r="AW111" s="316"/>
      <c r="AX111" s="316"/>
      <c r="AY111" s="316"/>
      <c r="AZ111" s="315"/>
      <c r="BC111" s="261"/>
      <c r="BD111" s="261"/>
      <c r="BE111" s="261"/>
      <c r="BF111" s="261"/>
      <c r="BJ111" s="285">
        <f t="shared" si="10"/>
        <v>0</v>
      </c>
      <c r="BK111" s="285">
        <f t="shared" si="11"/>
        <v>0</v>
      </c>
      <c r="BM111" s="261">
        <f t="shared" si="12"/>
        <v>0</v>
      </c>
      <c r="BN111" s="261">
        <f t="shared" si="13"/>
        <v>0</v>
      </c>
    </row>
    <row r="112" spans="1:66" ht="22.9" hidden="1" customHeight="1" x14ac:dyDescent="0.25">
      <c r="C112" s="171"/>
      <c r="D112" s="171"/>
      <c r="E112" s="152"/>
      <c r="F112" s="176"/>
      <c r="G112" s="171"/>
      <c r="H112" s="22"/>
      <c r="I112" s="172"/>
      <c r="J112" s="172"/>
      <c r="K112" s="171"/>
      <c r="L112" s="172"/>
      <c r="M112" s="172"/>
      <c r="N112" s="172"/>
      <c r="O112" s="172"/>
      <c r="P112" s="23"/>
      <c r="Q112" s="23"/>
      <c r="R112" s="172"/>
      <c r="S112" s="172"/>
      <c r="T112" s="172"/>
      <c r="U112" s="172"/>
      <c r="V112" s="20"/>
      <c r="W112" s="24"/>
      <c r="X112" s="24"/>
      <c r="Y112" s="24"/>
      <c r="Z112" s="24"/>
      <c r="AA112" s="24"/>
      <c r="AB112" s="24"/>
      <c r="AC112" s="24"/>
      <c r="AD112" s="24"/>
      <c r="AE112" s="24"/>
      <c r="AF112" s="24"/>
      <c r="AG112" s="24"/>
      <c r="AH112" s="25"/>
      <c r="AI112" s="26"/>
      <c r="AJ112" s="25"/>
      <c r="AK112" s="31"/>
      <c r="AL112" s="24"/>
      <c r="AM112" s="24"/>
      <c r="AN112" s="24"/>
      <c r="AO112" s="24"/>
      <c r="AP112" s="27"/>
      <c r="AQ112" s="28"/>
      <c r="AR112" s="29"/>
      <c r="AS112" s="30"/>
      <c r="AV112" s="316"/>
      <c r="AW112" s="316"/>
      <c r="AX112" s="316"/>
      <c r="AY112" s="316"/>
      <c r="AZ112" s="315"/>
      <c r="BC112" s="261"/>
      <c r="BD112" s="261"/>
      <c r="BE112" s="261"/>
      <c r="BF112" s="261"/>
      <c r="BJ112" s="285">
        <f t="shared" si="10"/>
        <v>0</v>
      </c>
      <c r="BK112" s="285">
        <f t="shared" si="11"/>
        <v>0</v>
      </c>
      <c r="BM112" s="261">
        <f t="shared" si="12"/>
        <v>0</v>
      </c>
      <c r="BN112" s="261">
        <f t="shared" si="13"/>
        <v>0</v>
      </c>
    </row>
    <row r="113" spans="3:66" ht="22.9" hidden="1" customHeight="1" x14ac:dyDescent="0.25">
      <c r="C113" s="171"/>
      <c r="D113" s="131"/>
      <c r="E113" s="152"/>
      <c r="F113" s="176"/>
      <c r="G113" s="171"/>
      <c r="H113" s="22"/>
      <c r="I113" s="172"/>
      <c r="J113" s="172"/>
      <c r="K113" s="171"/>
      <c r="L113" s="172"/>
      <c r="M113" s="172"/>
      <c r="N113" s="172"/>
      <c r="O113" s="172"/>
      <c r="P113" s="23"/>
      <c r="Q113" s="23"/>
      <c r="R113" s="172"/>
      <c r="S113" s="172"/>
      <c r="T113" s="172"/>
      <c r="U113" s="172"/>
      <c r="V113" s="20"/>
      <c r="W113" s="24"/>
      <c r="X113" s="24"/>
      <c r="Y113" s="24"/>
      <c r="Z113" s="24"/>
      <c r="AA113" s="24"/>
      <c r="AB113" s="24"/>
      <c r="AC113" s="24"/>
      <c r="AD113" s="24"/>
      <c r="AE113" s="24"/>
      <c r="AF113" s="24"/>
      <c r="AG113" s="24"/>
      <c r="AH113" s="25"/>
      <c r="AI113" s="26"/>
      <c r="AJ113" s="25"/>
      <c r="AK113" s="31"/>
      <c r="AL113" s="24"/>
      <c r="AM113" s="24"/>
      <c r="AN113" s="24"/>
      <c r="AO113" s="24"/>
      <c r="AP113" s="27"/>
      <c r="AQ113" s="28"/>
      <c r="AR113" s="29"/>
      <c r="AS113" s="30"/>
      <c r="AV113" s="316"/>
      <c r="AW113" s="316"/>
      <c r="AX113" s="316"/>
      <c r="AY113" s="316"/>
      <c r="AZ113" s="315"/>
      <c r="BC113" s="261"/>
      <c r="BD113" s="261"/>
      <c r="BE113" s="261"/>
      <c r="BF113" s="261"/>
      <c r="BJ113" s="285">
        <f t="shared" si="10"/>
        <v>0</v>
      </c>
      <c r="BK113" s="285">
        <f t="shared" si="11"/>
        <v>0</v>
      </c>
      <c r="BM113" s="261">
        <f t="shared" si="12"/>
        <v>0</v>
      </c>
      <c r="BN113" s="261">
        <f t="shared" si="13"/>
        <v>0</v>
      </c>
    </row>
    <row r="114" spans="3:66" ht="22.9" hidden="1" customHeight="1" x14ac:dyDescent="0.25">
      <c r="C114" s="171"/>
      <c r="D114" s="171"/>
      <c r="E114" s="152"/>
      <c r="F114" s="176"/>
      <c r="G114" s="171"/>
      <c r="H114" s="22"/>
      <c r="I114" s="220"/>
      <c r="J114" s="220"/>
      <c r="K114" s="171"/>
      <c r="L114" s="172"/>
      <c r="M114" s="172"/>
      <c r="N114" s="172"/>
      <c r="O114" s="172"/>
      <c r="P114" s="23"/>
      <c r="Q114" s="23"/>
      <c r="R114" s="172"/>
      <c r="S114" s="172"/>
      <c r="T114" s="172"/>
      <c r="U114" s="172"/>
      <c r="V114" s="20"/>
      <c r="W114" s="24"/>
      <c r="X114" s="24"/>
      <c r="Y114" s="25"/>
      <c r="Z114" s="25"/>
      <c r="AA114" s="25"/>
      <c r="AB114" s="25"/>
      <c r="AC114" s="25"/>
      <c r="AD114" s="24"/>
      <c r="AE114" s="24"/>
      <c r="AF114" s="24"/>
      <c r="AG114" s="24"/>
      <c r="AH114" s="25"/>
      <c r="AI114" s="26"/>
      <c r="AJ114" s="25"/>
      <c r="AK114" s="31"/>
      <c r="AL114" s="24"/>
      <c r="AM114" s="24"/>
      <c r="AN114" s="24"/>
      <c r="AO114" s="24"/>
      <c r="AP114" s="27"/>
      <c r="AQ114" s="28"/>
      <c r="AR114" s="29"/>
      <c r="AS114" s="30"/>
      <c r="AV114" s="316"/>
      <c r="AW114" s="316"/>
      <c r="AX114" s="316"/>
      <c r="AY114" s="316"/>
      <c r="AZ114" s="315"/>
      <c r="BC114" s="261"/>
      <c r="BD114" s="261"/>
      <c r="BE114" s="261"/>
      <c r="BF114" s="261"/>
      <c r="BJ114" s="285">
        <f t="shared" si="10"/>
        <v>0</v>
      </c>
      <c r="BK114" s="285">
        <f t="shared" si="11"/>
        <v>0</v>
      </c>
      <c r="BM114" s="261">
        <f t="shared" si="12"/>
        <v>0</v>
      </c>
      <c r="BN114" s="261">
        <f t="shared" si="13"/>
        <v>0</v>
      </c>
    </row>
    <row r="115" spans="3:66" ht="22.9" hidden="1" customHeight="1" x14ac:dyDescent="0.25">
      <c r="C115" s="171"/>
      <c r="D115" s="171"/>
      <c r="E115" s="152"/>
      <c r="F115" s="176"/>
      <c r="G115" s="171"/>
      <c r="H115" s="22"/>
      <c r="I115" s="220"/>
      <c r="J115" s="220"/>
      <c r="K115" s="171"/>
      <c r="L115" s="172"/>
      <c r="M115" s="172"/>
      <c r="N115" s="172"/>
      <c r="O115" s="172"/>
      <c r="P115" s="23"/>
      <c r="Q115" s="23"/>
      <c r="R115" s="172"/>
      <c r="S115" s="172"/>
      <c r="T115" s="172"/>
      <c r="U115" s="172"/>
      <c r="V115" s="20"/>
      <c r="W115" s="24"/>
      <c r="X115" s="24"/>
      <c r="Y115" s="25"/>
      <c r="Z115" s="25"/>
      <c r="AA115" s="25"/>
      <c r="AB115" s="25"/>
      <c r="AC115" s="25"/>
      <c r="AD115" s="24"/>
      <c r="AE115" s="24"/>
      <c r="AF115" s="24"/>
      <c r="AG115" s="24"/>
      <c r="AH115" s="25"/>
      <c r="AI115" s="26"/>
      <c r="AJ115" s="25"/>
      <c r="AK115" s="31"/>
      <c r="AL115" s="24"/>
      <c r="AM115" s="24"/>
      <c r="AN115" s="24"/>
      <c r="AO115" s="24"/>
      <c r="AP115" s="27"/>
      <c r="AQ115" s="28"/>
      <c r="AR115" s="29"/>
      <c r="AS115" s="30"/>
      <c r="AV115" s="316"/>
      <c r="AW115" s="316"/>
      <c r="AX115" s="316"/>
      <c r="AY115" s="316"/>
      <c r="AZ115" s="315"/>
      <c r="BC115" s="261"/>
      <c r="BD115" s="261"/>
      <c r="BE115" s="261"/>
      <c r="BF115" s="261"/>
      <c r="BJ115" s="285">
        <f t="shared" si="10"/>
        <v>0</v>
      </c>
      <c r="BK115" s="285">
        <f t="shared" si="11"/>
        <v>0</v>
      </c>
      <c r="BM115" s="261">
        <f t="shared" si="12"/>
        <v>0</v>
      </c>
      <c r="BN115" s="261">
        <f t="shared" si="13"/>
        <v>0</v>
      </c>
    </row>
    <row r="116" spans="3:66" ht="22.9" hidden="1" customHeight="1" x14ac:dyDescent="0.25">
      <c r="C116" s="171"/>
      <c r="D116" s="171"/>
      <c r="E116" s="152"/>
      <c r="F116" s="176"/>
      <c r="G116" s="171"/>
      <c r="H116" s="22"/>
      <c r="I116" s="220"/>
      <c r="J116" s="220"/>
      <c r="K116" s="171"/>
      <c r="L116" s="172"/>
      <c r="M116" s="172"/>
      <c r="N116" s="172"/>
      <c r="O116" s="172"/>
      <c r="P116" s="23"/>
      <c r="Q116" s="23"/>
      <c r="R116" s="172"/>
      <c r="S116" s="172"/>
      <c r="T116" s="172"/>
      <c r="U116" s="172"/>
      <c r="V116" s="20"/>
      <c r="W116" s="24"/>
      <c r="X116" s="24"/>
      <c r="Y116" s="25"/>
      <c r="Z116" s="25"/>
      <c r="AA116" s="25"/>
      <c r="AB116" s="25"/>
      <c r="AC116" s="25"/>
      <c r="AD116" s="24"/>
      <c r="AE116" s="24"/>
      <c r="AF116" s="24"/>
      <c r="AG116" s="24"/>
      <c r="AH116" s="25"/>
      <c r="AI116" s="26"/>
      <c r="AJ116" s="25"/>
      <c r="AK116" s="31"/>
      <c r="AL116" s="24"/>
      <c r="AM116" s="24"/>
      <c r="AN116" s="24"/>
      <c r="AO116" s="24"/>
      <c r="AP116" s="27"/>
      <c r="AQ116" s="28"/>
      <c r="AR116" s="29"/>
      <c r="AS116" s="30"/>
      <c r="AV116" s="316"/>
      <c r="AW116" s="316"/>
      <c r="AX116" s="316"/>
      <c r="AY116" s="316"/>
      <c r="AZ116" s="315"/>
      <c r="BC116" s="261"/>
      <c r="BD116" s="261"/>
      <c r="BE116" s="261"/>
      <c r="BF116" s="261"/>
      <c r="BJ116" s="285">
        <f t="shared" si="10"/>
        <v>0</v>
      </c>
      <c r="BK116" s="285">
        <f t="shared" si="11"/>
        <v>0</v>
      </c>
      <c r="BM116" s="261">
        <f t="shared" si="12"/>
        <v>0</v>
      </c>
      <c r="BN116" s="261">
        <f t="shared" si="13"/>
        <v>0</v>
      </c>
    </row>
    <row r="117" spans="3:66" ht="22.9" hidden="1" customHeight="1" x14ac:dyDescent="0.25">
      <c r="C117" s="171"/>
      <c r="D117" s="171"/>
      <c r="E117" s="152"/>
      <c r="F117" s="176"/>
      <c r="G117" s="171"/>
      <c r="H117" s="22"/>
      <c r="I117" s="220"/>
      <c r="J117" s="220"/>
      <c r="K117" s="171"/>
      <c r="L117" s="172"/>
      <c r="M117" s="172"/>
      <c r="N117" s="172"/>
      <c r="O117" s="172"/>
      <c r="P117" s="23"/>
      <c r="Q117" s="23"/>
      <c r="R117" s="172"/>
      <c r="S117" s="172"/>
      <c r="T117" s="172"/>
      <c r="U117" s="172"/>
      <c r="V117" s="20"/>
      <c r="W117" s="24"/>
      <c r="X117" s="24"/>
      <c r="Y117" s="25"/>
      <c r="Z117" s="25"/>
      <c r="AA117" s="25"/>
      <c r="AB117" s="25"/>
      <c r="AC117" s="25"/>
      <c r="AD117" s="24"/>
      <c r="AE117" s="24"/>
      <c r="AF117" s="24"/>
      <c r="AG117" s="24"/>
      <c r="AH117" s="25"/>
      <c r="AI117" s="26"/>
      <c r="AJ117" s="25"/>
      <c r="AK117" s="31"/>
      <c r="AL117" s="24"/>
      <c r="AM117" s="24"/>
      <c r="AN117" s="24"/>
      <c r="AO117" s="24"/>
      <c r="AP117" s="27"/>
      <c r="AQ117" s="28"/>
      <c r="AR117" s="29"/>
      <c r="AS117" s="30"/>
      <c r="AV117" s="316"/>
      <c r="AW117" s="316"/>
      <c r="AX117" s="316"/>
      <c r="AY117" s="316"/>
      <c r="AZ117" s="315"/>
      <c r="BC117" s="261"/>
      <c r="BD117" s="261"/>
      <c r="BE117" s="261"/>
      <c r="BF117" s="261"/>
      <c r="BJ117" s="285">
        <f t="shared" si="10"/>
        <v>0</v>
      </c>
      <c r="BK117" s="285">
        <f t="shared" si="11"/>
        <v>0</v>
      </c>
      <c r="BM117" s="261">
        <f t="shared" si="12"/>
        <v>0</v>
      </c>
      <c r="BN117" s="261">
        <f t="shared" si="13"/>
        <v>0</v>
      </c>
    </row>
    <row r="118" spans="3:66" ht="22.9" hidden="1" customHeight="1" x14ac:dyDescent="0.25">
      <c r="C118" s="171"/>
      <c r="D118" s="171"/>
      <c r="E118" s="152"/>
      <c r="F118" s="176"/>
      <c r="G118" s="171"/>
      <c r="H118" s="22"/>
      <c r="I118" s="220"/>
      <c r="J118" s="220"/>
      <c r="K118" s="171"/>
      <c r="L118" s="172"/>
      <c r="M118" s="172"/>
      <c r="N118" s="172"/>
      <c r="O118" s="172"/>
      <c r="P118" s="23"/>
      <c r="Q118" s="23"/>
      <c r="R118" s="172"/>
      <c r="S118" s="172"/>
      <c r="T118" s="172"/>
      <c r="U118" s="172"/>
      <c r="V118" s="20"/>
      <c r="W118" s="24"/>
      <c r="X118" s="24"/>
      <c r="Y118" s="25"/>
      <c r="Z118" s="25"/>
      <c r="AA118" s="25"/>
      <c r="AB118" s="25"/>
      <c r="AC118" s="25"/>
      <c r="AD118" s="24"/>
      <c r="AE118" s="24"/>
      <c r="AF118" s="24"/>
      <c r="AG118" s="24"/>
      <c r="AH118" s="25"/>
      <c r="AI118" s="26"/>
      <c r="AJ118" s="25"/>
      <c r="AK118" s="31"/>
      <c r="AL118" s="24"/>
      <c r="AM118" s="24"/>
      <c r="AN118" s="24"/>
      <c r="AO118" s="24"/>
      <c r="AP118" s="27"/>
      <c r="AQ118" s="28"/>
      <c r="AR118" s="29"/>
      <c r="AS118" s="30"/>
      <c r="AV118" s="316"/>
      <c r="AW118" s="316"/>
      <c r="AX118" s="316"/>
      <c r="AY118" s="316"/>
      <c r="AZ118" s="315"/>
      <c r="BC118" s="261"/>
      <c r="BD118" s="261"/>
      <c r="BE118" s="261"/>
      <c r="BF118" s="261"/>
      <c r="BJ118" s="285">
        <f t="shared" si="10"/>
        <v>0</v>
      </c>
      <c r="BK118" s="285">
        <f t="shared" si="11"/>
        <v>0</v>
      </c>
      <c r="BM118" s="261">
        <f t="shared" si="12"/>
        <v>0</v>
      </c>
      <c r="BN118" s="261">
        <f t="shared" si="13"/>
        <v>0</v>
      </c>
    </row>
    <row r="119" spans="3:66" ht="22.9" hidden="1" customHeight="1" x14ac:dyDescent="0.25">
      <c r="C119" s="171"/>
      <c r="D119" s="171"/>
      <c r="E119" s="152"/>
      <c r="F119" s="176"/>
      <c r="G119" s="171"/>
      <c r="H119" s="22"/>
      <c r="I119" s="220"/>
      <c r="J119" s="220"/>
      <c r="K119" s="171"/>
      <c r="L119" s="172"/>
      <c r="M119" s="172"/>
      <c r="N119" s="172"/>
      <c r="O119" s="172"/>
      <c r="P119" s="23"/>
      <c r="Q119" s="23"/>
      <c r="R119" s="172"/>
      <c r="S119" s="172"/>
      <c r="T119" s="172"/>
      <c r="U119" s="172"/>
      <c r="V119" s="20"/>
      <c r="W119" s="24"/>
      <c r="X119" s="24"/>
      <c r="Y119" s="25"/>
      <c r="Z119" s="25"/>
      <c r="AA119" s="25"/>
      <c r="AB119" s="25"/>
      <c r="AC119" s="25"/>
      <c r="AD119" s="24"/>
      <c r="AE119" s="24"/>
      <c r="AF119" s="24"/>
      <c r="AG119" s="24"/>
      <c r="AH119" s="25"/>
      <c r="AI119" s="26"/>
      <c r="AJ119" s="25"/>
      <c r="AK119" s="31"/>
      <c r="AL119" s="24"/>
      <c r="AM119" s="24"/>
      <c r="AN119" s="24"/>
      <c r="AO119" s="24"/>
      <c r="AP119" s="27"/>
      <c r="AQ119" s="28"/>
      <c r="AR119" s="29"/>
      <c r="AS119" s="30"/>
      <c r="AV119" s="316"/>
      <c r="AW119" s="316"/>
      <c r="AX119" s="316"/>
      <c r="AY119" s="316"/>
      <c r="AZ119" s="315"/>
      <c r="BC119" s="261"/>
      <c r="BD119" s="261"/>
      <c r="BE119" s="261"/>
      <c r="BF119" s="261"/>
      <c r="BJ119" s="285">
        <f t="shared" si="10"/>
        <v>0</v>
      </c>
      <c r="BK119" s="285">
        <f t="shared" si="11"/>
        <v>0</v>
      </c>
      <c r="BM119" s="261">
        <f t="shared" si="12"/>
        <v>0</v>
      </c>
      <c r="BN119" s="261">
        <f t="shared" si="13"/>
        <v>0</v>
      </c>
    </row>
    <row r="120" spans="3:66" ht="22.9" hidden="1" customHeight="1" x14ac:dyDescent="0.25">
      <c r="C120" s="171"/>
      <c r="D120" s="171"/>
      <c r="E120" s="152"/>
      <c r="F120" s="176"/>
      <c r="G120" s="171"/>
      <c r="H120" s="22"/>
      <c r="I120" s="220"/>
      <c r="J120" s="220"/>
      <c r="K120" s="171"/>
      <c r="L120" s="172"/>
      <c r="M120" s="172"/>
      <c r="N120" s="172"/>
      <c r="O120" s="172"/>
      <c r="P120" s="23"/>
      <c r="Q120" s="23"/>
      <c r="R120" s="172"/>
      <c r="S120" s="172"/>
      <c r="T120" s="172"/>
      <c r="U120" s="172"/>
      <c r="V120" s="20"/>
      <c r="W120" s="24"/>
      <c r="X120" s="24"/>
      <c r="Y120" s="25"/>
      <c r="Z120" s="25"/>
      <c r="AA120" s="25"/>
      <c r="AB120" s="25"/>
      <c r="AC120" s="25"/>
      <c r="AD120" s="24"/>
      <c r="AE120" s="24"/>
      <c r="AF120" s="24"/>
      <c r="AG120" s="24"/>
      <c r="AH120" s="25"/>
      <c r="AI120" s="26"/>
      <c r="AJ120" s="25"/>
      <c r="AK120" s="31"/>
      <c r="AL120" s="24"/>
      <c r="AM120" s="24"/>
      <c r="AN120" s="24"/>
      <c r="AO120" s="24"/>
      <c r="AP120" s="27"/>
      <c r="AQ120" s="28"/>
      <c r="AR120" s="29"/>
      <c r="AS120" s="30"/>
      <c r="AV120" s="316"/>
      <c r="AW120" s="316"/>
      <c r="AX120" s="316"/>
      <c r="AY120" s="316"/>
      <c r="AZ120" s="315"/>
      <c r="BC120" s="261"/>
      <c r="BD120" s="261"/>
      <c r="BE120" s="261"/>
      <c r="BF120" s="261"/>
      <c r="BJ120" s="285">
        <f t="shared" si="10"/>
        <v>0</v>
      </c>
      <c r="BK120" s="285">
        <f t="shared" si="11"/>
        <v>0</v>
      </c>
      <c r="BM120" s="261">
        <f t="shared" si="12"/>
        <v>0</v>
      </c>
      <c r="BN120" s="261">
        <f t="shared" si="13"/>
        <v>0</v>
      </c>
    </row>
    <row r="121" spans="3:66" ht="22.9" hidden="1" customHeight="1" x14ac:dyDescent="0.25">
      <c r="C121" s="171"/>
      <c r="D121" s="171"/>
      <c r="E121" s="152"/>
      <c r="F121" s="176"/>
      <c r="G121" s="171"/>
      <c r="H121" s="22"/>
      <c r="I121" s="220"/>
      <c r="J121" s="220"/>
      <c r="K121" s="171"/>
      <c r="L121" s="172"/>
      <c r="M121" s="172"/>
      <c r="N121" s="172"/>
      <c r="O121" s="172"/>
      <c r="P121" s="23"/>
      <c r="Q121" s="23"/>
      <c r="R121" s="172"/>
      <c r="S121" s="172"/>
      <c r="T121" s="172"/>
      <c r="U121" s="172"/>
      <c r="V121" s="20"/>
      <c r="W121" s="24"/>
      <c r="X121" s="24"/>
      <c r="Y121" s="25"/>
      <c r="Z121" s="25"/>
      <c r="AA121" s="25"/>
      <c r="AB121" s="25"/>
      <c r="AC121" s="25"/>
      <c r="AD121" s="24"/>
      <c r="AE121" s="24"/>
      <c r="AF121" s="24"/>
      <c r="AG121" s="24"/>
      <c r="AH121" s="25"/>
      <c r="AI121" s="26"/>
      <c r="AJ121" s="25"/>
      <c r="AK121" s="31"/>
      <c r="AL121" s="24"/>
      <c r="AM121" s="24"/>
      <c r="AN121" s="24"/>
      <c r="AO121" s="24"/>
      <c r="AP121" s="27"/>
      <c r="AQ121" s="28"/>
      <c r="AR121" s="29"/>
      <c r="AS121" s="30"/>
      <c r="AV121" s="316"/>
      <c r="AW121" s="316"/>
      <c r="AX121" s="316"/>
      <c r="AY121" s="316"/>
      <c r="AZ121" s="315"/>
      <c r="BC121" s="261"/>
      <c r="BD121" s="261"/>
      <c r="BE121" s="261"/>
      <c r="BF121" s="261"/>
      <c r="BJ121" s="285">
        <f t="shared" si="10"/>
        <v>0</v>
      </c>
      <c r="BK121" s="285">
        <f t="shared" si="11"/>
        <v>0</v>
      </c>
      <c r="BM121" s="261">
        <f t="shared" si="12"/>
        <v>0</v>
      </c>
      <c r="BN121" s="261">
        <f t="shared" si="13"/>
        <v>0</v>
      </c>
    </row>
    <row r="122" spans="3:66" ht="22.9" hidden="1" customHeight="1" x14ac:dyDescent="0.25">
      <c r="C122" s="171"/>
      <c r="D122" s="171"/>
      <c r="E122" s="152"/>
      <c r="F122" s="176"/>
      <c r="G122" s="171"/>
      <c r="H122" s="22"/>
      <c r="I122" s="220"/>
      <c r="J122" s="220"/>
      <c r="K122" s="171"/>
      <c r="L122" s="172"/>
      <c r="M122" s="172"/>
      <c r="N122" s="172"/>
      <c r="O122" s="172"/>
      <c r="P122" s="23"/>
      <c r="Q122" s="23"/>
      <c r="R122" s="172"/>
      <c r="S122" s="172"/>
      <c r="T122" s="172"/>
      <c r="U122" s="172"/>
      <c r="V122" s="20"/>
      <c r="W122" s="24"/>
      <c r="X122" s="24"/>
      <c r="Y122" s="25"/>
      <c r="Z122" s="25"/>
      <c r="AA122" s="25"/>
      <c r="AB122" s="25"/>
      <c r="AC122" s="25"/>
      <c r="AD122" s="24"/>
      <c r="AE122" s="24"/>
      <c r="AF122" s="24"/>
      <c r="AG122" s="24"/>
      <c r="AH122" s="25"/>
      <c r="AI122" s="26"/>
      <c r="AJ122" s="25"/>
      <c r="AK122" s="31"/>
      <c r="AL122" s="24"/>
      <c r="AM122" s="24"/>
      <c r="AN122" s="24"/>
      <c r="AO122" s="24"/>
      <c r="AP122" s="27"/>
      <c r="AQ122" s="28"/>
      <c r="AR122" s="29"/>
      <c r="AS122" s="30"/>
      <c r="AV122" s="316"/>
      <c r="AW122" s="316"/>
      <c r="AX122" s="316"/>
      <c r="AY122" s="316"/>
      <c r="AZ122" s="315"/>
      <c r="BC122" s="261"/>
      <c r="BD122" s="261"/>
      <c r="BE122" s="261"/>
      <c r="BF122" s="261"/>
      <c r="BJ122" s="285">
        <f t="shared" si="10"/>
        <v>0</v>
      </c>
      <c r="BK122" s="285">
        <f t="shared" si="11"/>
        <v>0</v>
      </c>
      <c r="BM122" s="261">
        <f t="shared" si="12"/>
        <v>0</v>
      </c>
      <c r="BN122" s="261">
        <f t="shared" si="13"/>
        <v>0</v>
      </c>
    </row>
    <row r="123" spans="3:66" ht="22.9" hidden="1" customHeight="1" x14ac:dyDescent="0.25">
      <c r="C123" s="171"/>
      <c r="D123" s="171"/>
      <c r="E123" s="152"/>
      <c r="F123" s="171"/>
      <c r="G123" s="171"/>
      <c r="H123" s="22"/>
      <c r="I123" s="220"/>
      <c r="J123" s="220"/>
      <c r="K123" s="171"/>
      <c r="L123" s="172"/>
      <c r="M123" s="172"/>
      <c r="N123" s="172"/>
      <c r="O123" s="172"/>
      <c r="P123" s="23"/>
      <c r="Q123" s="23"/>
      <c r="R123" s="172"/>
      <c r="S123" s="172"/>
      <c r="T123" s="172"/>
      <c r="U123" s="172"/>
      <c r="V123" s="20"/>
      <c r="W123" s="24"/>
      <c r="X123" s="24"/>
      <c r="Y123" s="25"/>
      <c r="Z123" s="25"/>
      <c r="AA123" s="25"/>
      <c r="AB123" s="25"/>
      <c r="AC123" s="25"/>
      <c r="AD123" s="24"/>
      <c r="AE123" s="24"/>
      <c r="AF123" s="24"/>
      <c r="AG123" s="24"/>
      <c r="AH123" s="25"/>
      <c r="AI123" s="26"/>
      <c r="AJ123" s="25"/>
      <c r="AK123" s="31"/>
      <c r="AL123" s="24"/>
      <c r="AM123" s="24"/>
      <c r="AN123" s="24"/>
      <c r="AO123" s="24"/>
      <c r="AP123" s="27"/>
      <c r="AQ123" s="28"/>
      <c r="AR123" s="29"/>
      <c r="AS123" s="30"/>
      <c r="AV123" s="316"/>
      <c r="AW123" s="316"/>
      <c r="AX123" s="316"/>
      <c r="AY123" s="316"/>
      <c r="AZ123" s="315"/>
      <c r="BC123" s="261"/>
      <c r="BD123" s="261"/>
      <c r="BE123" s="261"/>
      <c r="BF123" s="261"/>
      <c r="BJ123" s="285">
        <f t="shared" si="10"/>
        <v>0</v>
      </c>
      <c r="BK123" s="285">
        <f t="shared" si="11"/>
        <v>0</v>
      </c>
      <c r="BM123" s="261">
        <f t="shared" si="12"/>
        <v>0</v>
      </c>
      <c r="BN123" s="261">
        <f t="shared" si="13"/>
        <v>0</v>
      </c>
    </row>
    <row r="124" spans="3:66" ht="22.9" hidden="1" customHeight="1" x14ac:dyDescent="0.25">
      <c r="C124" s="171"/>
      <c r="D124" s="171"/>
      <c r="E124" s="152"/>
      <c r="F124" s="171"/>
      <c r="G124" s="171"/>
      <c r="H124" s="22"/>
      <c r="I124" s="220"/>
      <c r="J124" s="220"/>
      <c r="K124" s="171"/>
      <c r="L124" s="172"/>
      <c r="M124" s="172"/>
      <c r="N124" s="172"/>
      <c r="O124" s="172"/>
      <c r="P124" s="23"/>
      <c r="Q124" s="23"/>
      <c r="R124" s="172"/>
      <c r="S124" s="172"/>
      <c r="T124" s="172"/>
      <c r="U124" s="172"/>
      <c r="V124" s="20"/>
      <c r="W124" s="24"/>
      <c r="X124" s="24"/>
      <c r="Y124" s="25"/>
      <c r="Z124" s="25"/>
      <c r="AA124" s="25"/>
      <c r="AB124" s="25"/>
      <c r="AC124" s="25"/>
      <c r="AD124" s="24"/>
      <c r="AE124" s="24"/>
      <c r="AF124" s="24"/>
      <c r="AG124" s="24"/>
      <c r="AH124" s="25"/>
      <c r="AI124" s="26"/>
      <c r="AJ124" s="25"/>
      <c r="AK124" s="31"/>
      <c r="AL124" s="24"/>
      <c r="AM124" s="24"/>
      <c r="AN124" s="24"/>
      <c r="AO124" s="24"/>
      <c r="AP124" s="27"/>
      <c r="AQ124" s="28"/>
      <c r="AR124" s="29"/>
      <c r="AS124" s="30"/>
      <c r="AV124" s="316"/>
      <c r="AW124" s="316"/>
      <c r="AX124" s="316"/>
      <c r="AY124" s="316"/>
      <c r="AZ124" s="315"/>
      <c r="BC124" s="261"/>
      <c r="BD124" s="261"/>
      <c r="BE124" s="261"/>
      <c r="BF124" s="261"/>
      <c r="BJ124" s="285">
        <f t="shared" si="10"/>
        <v>0</v>
      </c>
      <c r="BK124" s="285">
        <f t="shared" si="11"/>
        <v>0</v>
      </c>
      <c r="BM124" s="261">
        <f t="shared" si="12"/>
        <v>0</v>
      </c>
      <c r="BN124" s="261">
        <f t="shared" si="13"/>
        <v>0</v>
      </c>
    </row>
    <row r="125" spans="3:66" ht="22.9" hidden="1" customHeight="1" x14ac:dyDescent="0.25">
      <c r="C125" s="171"/>
      <c r="D125" s="171"/>
      <c r="E125" s="152"/>
      <c r="F125" s="171"/>
      <c r="G125" s="171"/>
      <c r="H125" s="22"/>
      <c r="I125" s="220"/>
      <c r="J125" s="220"/>
      <c r="K125" s="171"/>
      <c r="L125" s="172"/>
      <c r="M125" s="172"/>
      <c r="N125" s="172"/>
      <c r="O125" s="172"/>
      <c r="P125" s="23"/>
      <c r="Q125" s="23"/>
      <c r="R125" s="172"/>
      <c r="S125" s="172"/>
      <c r="T125" s="172"/>
      <c r="U125" s="172"/>
      <c r="V125" s="20"/>
      <c r="W125" s="24"/>
      <c r="X125" s="24"/>
      <c r="Y125" s="25"/>
      <c r="Z125" s="25"/>
      <c r="AA125" s="25"/>
      <c r="AB125" s="25"/>
      <c r="AC125" s="25"/>
      <c r="AD125" s="24"/>
      <c r="AE125" s="24"/>
      <c r="AF125" s="24"/>
      <c r="AG125" s="24"/>
      <c r="AH125" s="25"/>
      <c r="AI125" s="26"/>
      <c r="AJ125" s="25"/>
      <c r="AK125" s="31"/>
      <c r="AL125" s="24"/>
      <c r="AM125" s="24"/>
      <c r="AN125" s="24"/>
      <c r="AO125" s="24"/>
      <c r="AP125" s="27"/>
      <c r="AQ125" s="28"/>
      <c r="AR125" s="29"/>
      <c r="AS125" s="30"/>
      <c r="AV125" s="316"/>
      <c r="AW125" s="316"/>
      <c r="AX125" s="316"/>
      <c r="AY125" s="316"/>
      <c r="AZ125" s="315"/>
      <c r="BC125" s="261"/>
      <c r="BD125" s="261"/>
      <c r="BE125" s="261"/>
      <c r="BF125" s="261"/>
      <c r="BJ125" s="285">
        <f t="shared" si="10"/>
        <v>0</v>
      </c>
      <c r="BK125" s="285">
        <f t="shared" si="11"/>
        <v>0</v>
      </c>
      <c r="BM125" s="261">
        <f t="shared" si="12"/>
        <v>0</v>
      </c>
      <c r="BN125" s="261">
        <f t="shared" si="13"/>
        <v>0</v>
      </c>
    </row>
    <row r="126" spans="3:66" ht="22.9" hidden="1" customHeight="1" x14ac:dyDescent="0.25">
      <c r="C126" s="171"/>
      <c r="D126" s="171"/>
      <c r="E126" s="152"/>
      <c r="F126" s="171"/>
      <c r="G126" s="171"/>
      <c r="H126" s="22"/>
      <c r="I126" s="220"/>
      <c r="J126" s="220"/>
      <c r="K126" s="171"/>
      <c r="L126" s="172"/>
      <c r="M126" s="172"/>
      <c r="N126" s="172"/>
      <c r="O126" s="172"/>
      <c r="P126" s="23"/>
      <c r="Q126" s="23"/>
      <c r="R126" s="172"/>
      <c r="S126" s="172"/>
      <c r="T126" s="172"/>
      <c r="U126" s="172"/>
      <c r="V126" s="20"/>
      <c r="W126" s="24"/>
      <c r="X126" s="24"/>
      <c r="Y126" s="25"/>
      <c r="Z126" s="25"/>
      <c r="AA126" s="25"/>
      <c r="AB126" s="25"/>
      <c r="AC126" s="25"/>
      <c r="AD126" s="24"/>
      <c r="AE126" s="24"/>
      <c r="AF126" s="24"/>
      <c r="AG126" s="24"/>
      <c r="AH126" s="25"/>
      <c r="AI126" s="26"/>
      <c r="AJ126" s="25"/>
      <c r="AK126" s="31"/>
      <c r="AL126" s="24"/>
      <c r="AM126" s="24"/>
      <c r="AN126" s="24"/>
      <c r="AO126" s="24"/>
      <c r="AP126" s="27"/>
      <c r="AQ126" s="28"/>
      <c r="AR126" s="29"/>
      <c r="AS126" s="30"/>
      <c r="AV126" s="316"/>
      <c r="AW126" s="316"/>
      <c r="AX126" s="316"/>
      <c r="AY126" s="316"/>
      <c r="AZ126" s="315"/>
      <c r="BC126" s="261"/>
      <c r="BD126" s="261"/>
      <c r="BE126" s="261"/>
      <c r="BF126" s="261"/>
      <c r="BJ126" s="285">
        <f t="shared" si="10"/>
        <v>0</v>
      </c>
      <c r="BK126" s="285">
        <f t="shared" si="11"/>
        <v>0</v>
      </c>
      <c r="BM126" s="261">
        <f t="shared" si="12"/>
        <v>0</v>
      </c>
      <c r="BN126" s="261">
        <f t="shared" si="13"/>
        <v>0</v>
      </c>
    </row>
    <row r="127" spans="3:66" ht="22.9" hidden="1" customHeight="1" x14ac:dyDescent="0.25">
      <c r="C127" s="171"/>
      <c r="D127" s="171"/>
      <c r="E127" s="152"/>
      <c r="F127" s="171"/>
      <c r="G127" s="171"/>
      <c r="H127" s="22"/>
      <c r="I127" s="172"/>
      <c r="J127" s="172"/>
      <c r="K127" s="171"/>
      <c r="L127" s="172"/>
      <c r="M127" s="172"/>
      <c r="N127" s="172"/>
      <c r="O127" s="172"/>
      <c r="P127" s="23"/>
      <c r="Q127" s="23"/>
      <c r="R127" s="172"/>
      <c r="S127" s="172"/>
      <c r="T127" s="172"/>
      <c r="U127" s="172"/>
      <c r="V127" s="20"/>
      <c r="W127" s="24"/>
      <c r="X127" s="24"/>
      <c r="Y127" s="24"/>
      <c r="Z127" s="24"/>
      <c r="AA127" s="24"/>
      <c r="AB127" s="24"/>
      <c r="AC127" s="24"/>
      <c r="AD127" s="24"/>
      <c r="AE127" s="24"/>
      <c r="AF127" s="24"/>
      <c r="AG127" s="24"/>
      <c r="AH127" s="25"/>
      <c r="AI127" s="26"/>
      <c r="AJ127" s="25"/>
      <c r="AK127" s="31"/>
      <c r="AL127" s="24"/>
      <c r="AM127" s="24"/>
      <c r="AN127" s="24"/>
      <c r="AO127" s="24"/>
      <c r="AP127" s="27"/>
      <c r="AQ127" s="28"/>
      <c r="AR127" s="29"/>
      <c r="AS127" s="30"/>
      <c r="AV127" s="316"/>
      <c r="AW127" s="316"/>
      <c r="AX127" s="316"/>
      <c r="AY127" s="316"/>
      <c r="AZ127" s="315"/>
      <c r="BC127" s="261"/>
      <c r="BD127" s="261"/>
      <c r="BE127" s="261"/>
      <c r="BF127" s="261"/>
      <c r="BJ127" s="285">
        <f t="shared" si="10"/>
        <v>0</v>
      </c>
      <c r="BK127" s="285">
        <f t="shared" si="11"/>
        <v>0</v>
      </c>
      <c r="BM127" s="261">
        <f t="shared" si="12"/>
        <v>0</v>
      </c>
      <c r="BN127" s="261">
        <f t="shared" si="13"/>
        <v>0</v>
      </c>
    </row>
    <row r="128" spans="3:66" ht="22.9" hidden="1" customHeight="1" x14ac:dyDescent="0.25">
      <c r="C128" s="171"/>
      <c r="D128" s="131"/>
      <c r="E128" s="152"/>
      <c r="F128" s="171"/>
      <c r="G128" s="171"/>
      <c r="H128" s="22"/>
      <c r="I128" s="172"/>
      <c r="J128" s="172"/>
      <c r="K128" s="171"/>
      <c r="L128" s="172"/>
      <c r="M128" s="172"/>
      <c r="N128" s="172"/>
      <c r="O128" s="172"/>
      <c r="P128" s="23"/>
      <c r="Q128" s="23"/>
      <c r="R128" s="172"/>
      <c r="S128" s="172"/>
      <c r="T128" s="172"/>
      <c r="U128" s="172"/>
      <c r="V128" s="20"/>
      <c r="W128" s="24"/>
      <c r="X128" s="24"/>
      <c r="Y128" s="24"/>
      <c r="Z128" s="24"/>
      <c r="AA128" s="24"/>
      <c r="AB128" s="24"/>
      <c r="AC128" s="24"/>
      <c r="AD128" s="24"/>
      <c r="AE128" s="24"/>
      <c r="AF128" s="24"/>
      <c r="AG128" s="24"/>
      <c r="AH128" s="25"/>
      <c r="AI128" s="26"/>
      <c r="AJ128" s="25"/>
      <c r="AK128" s="31"/>
      <c r="AL128" s="24"/>
      <c r="AM128" s="24"/>
      <c r="AN128" s="24"/>
      <c r="AO128" s="24"/>
      <c r="AP128" s="27"/>
      <c r="AQ128" s="28"/>
      <c r="AR128" s="29"/>
      <c r="AS128" s="30"/>
      <c r="AV128" s="316"/>
      <c r="AW128" s="316"/>
      <c r="AX128" s="316"/>
      <c r="AY128" s="316"/>
      <c r="AZ128" s="315"/>
      <c r="BC128" s="261"/>
      <c r="BD128" s="261"/>
      <c r="BE128" s="261"/>
      <c r="BF128" s="261"/>
      <c r="BJ128" s="285">
        <f t="shared" si="10"/>
        <v>0</v>
      </c>
      <c r="BK128" s="285">
        <f t="shared" si="11"/>
        <v>0</v>
      </c>
      <c r="BM128" s="261">
        <f t="shared" si="12"/>
        <v>0</v>
      </c>
      <c r="BN128" s="261">
        <f t="shared" si="13"/>
        <v>0</v>
      </c>
    </row>
    <row r="129" spans="3:66" ht="22.9" hidden="1" customHeight="1" x14ac:dyDescent="0.25">
      <c r="C129" s="171"/>
      <c r="D129" s="171"/>
      <c r="E129" s="152"/>
      <c r="F129" s="171"/>
      <c r="G129" s="171"/>
      <c r="H129" s="22"/>
      <c r="I129" s="172"/>
      <c r="J129" s="172"/>
      <c r="K129" s="171"/>
      <c r="L129" s="172"/>
      <c r="M129" s="172"/>
      <c r="N129" s="172"/>
      <c r="O129" s="172"/>
      <c r="P129" s="23"/>
      <c r="Q129" s="23"/>
      <c r="R129" s="172"/>
      <c r="S129" s="172"/>
      <c r="T129" s="172"/>
      <c r="U129" s="172"/>
      <c r="V129" s="20"/>
      <c r="W129" s="24"/>
      <c r="X129" s="24"/>
      <c r="Y129" s="25"/>
      <c r="Z129" s="25"/>
      <c r="AA129" s="25"/>
      <c r="AB129" s="25"/>
      <c r="AC129" s="25"/>
      <c r="AD129" s="24"/>
      <c r="AE129" s="24"/>
      <c r="AF129" s="24"/>
      <c r="AG129" s="24"/>
      <c r="AH129" s="25"/>
      <c r="AI129" s="26"/>
      <c r="AJ129" s="25"/>
      <c r="AK129" s="31"/>
      <c r="AL129" s="24"/>
      <c r="AM129" s="24"/>
      <c r="AN129" s="24"/>
      <c r="AO129" s="24"/>
      <c r="AP129" s="27"/>
      <c r="AQ129" s="28"/>
      <c r="AR129" s="29"/>
      <c r="AS129" s="30"/>
      <c r="AV129" s="316"/>
      <c r="AW129" s="316"/>
      <c r="AX129" s="316"/>
      <c r="AY129" s="316"/>
      <c r="AZ129" s="315"/>
      <c r="BC129" s="261"/>
      <c r="BD129" s="261"/>
      <c r="BE129" s="261"/>
      <c r="BF129" s="261"/>
      <c r="BJ129" s="285">
        <f t="shared" si="10"/>
        <v>0</v>
      </c>
      <c r="BK129" s="285">
        <f t="shared" si="11"/>
        <v>0</v>
      </c>
      <c r="BM129" s="261">
        <f t="shared" si="12"/>
        <v>0</v>
      </c>
      <c r="BN129" s="261">
        <f t="shared" si="13"/>
        <v>0</v>
      </c>
    </row>
    <row r="130" spans="3:66" ht="22.9" hidden="1" customHeight="1" x14ac:dyDescent="0.25">
      <c r="C130" s="171"/>
      <c r="D130" s="171"/>
      <c r="E130" s="152"/>
      <c r="F130" s="171"/>
      <c r="G130" s="171"/>
      <c r="H130" s="22"/>
      <c r="I130" s="172"/>
      <c r="J130" s="172"/>
      <c r="K130" s="171"/>
      <c r="L130" s="172"/>
      <c r="M130" s="172"/>
      <c r="N130" s="172"/>
      <c r="O130" s="172"/>
      <c r="P130" s="23"/>
      <c r="Q130" s="23"/>
      <c r="R130" s="172"/>
      <c r="S130" s="172"/>
      <c r="T130" s="172"/>
      <c r="U130" s="172"/>
      <c r="V130" s="20"/>
      <c r="W130" s="24"/>
      <c r="X130" s="24"/>
      <c r="Y130" s="25"/>
      <c r="Z130" s="25"/>
      <c r="AA130" s="25"/>
      <c r="AB130" s="25"/>
      <c r="AC130" s="25"/>
      <c r="AD130" s="24"/>
      <c r="AE130" s="24"/>
      <c r="AF130" s="24"/>
      <c r="AG130" s="24"/>
      <c r="AH130" s="25"/>
      <c r="AI130" s="26"/>
      <c r="AJ130" s="25"/>
      <c r="AK130" s="31"/>
      <c r="AL130" s="24"/>
      <c r="AM130" s="24"/>
      <c r="AN130" s="24"/>
      <c r="AO130" s="24"/>
      <c r="AP130" s="27"/>
      <c r="AQ130" s="28"/>
      <c r="AR130" s="29"/>
      <c r="AS130" s="30"/>
      <c r="AV130" s="316"/>
      <c r="AW130" s="316"/>
      <c r="AX130" s="316"/>
      <c r="AY130" s="316"/>
      <c r="AZ130" s="315"/>
      <c r="BC130" s="261"/>
      <c r="BD130" s="261"/>
      <c r="BE130" s="261"/>
      <c r="BF130" s="261"/>
      <c r="BJ130" s="285">
        <f t="shared" si="10"/>
        <v>0</v>
      </c>
      <c r="BK130" s="285">
        <f t="shared" si="11"/>
        <v>0</v>
      </c>
      <c r="BM130" s="261">
        <f t="shared" si="12"/>
        <v>0</v>
      </c>
      <c r="BN130" s="261">
        <f t="shared" si="13"/>
        <v>0</v>
      </c>
    </row>
    <row r="131" spans="3:66" ht="22.9" hidden="1" customHeight="1" x14ac:dyDescent="0.25">
      <c r="C131" s="171"/>
      <c r="D131" s="171"/>
      <c r="E131" s="152"/>
      <c r="F131" s="171"/>
      <c r="G131" s="171"/>
      <c r="H131" s="22"/>
      <c r="I131" s="172"/>
      <c r="J131" s="172"/>
      <c r="K131" s="171"/>
      <c r="L131" s="172"/>
      <c r="M131" s="172"/>
      <c r="N131" s="172"/>
      <c r="O131" s="172"/>
      <c r="P131" s="23"/>
      <c r="Q131" s="23"/>
      <c r="R131" s="172"/>
      <c r="S131" s="172"/>
      <c r="T131" s="172"/>
      <c r="U131" s="172"/>
      <c r="V131" s="20"/>
      <c r="W131" s="24"/>
      <c r="X131" s="24"/>
      <c r="Y131" s="25"/>
      <c r="Z131" s="25"/>
      <c r="AA131" s="25"/>
      <c r="AB131" s="25"/>
      <c r="AC131" s="25"/>
      <c r="AD131" s="24"/>
      <c r="AE131" s="24"/>
      <c r="AF131" s="24"/>
      <c r="AG131" s="24"/>
      <c r="AH131" s="25"/>
      <c r="AI131" s="26"/>
      <c r="AJ131" s="25"/>
      <c r="AK131" s="31"/>
      <c r="AL131" s="24"/>
      <c r="AM131" s="24"/>
      <c r="AN131" s="24"/>
      <c r="AO131" s="24"/>
      <c r="AP131" s="27"/>
      <c r="AQ131" s="28"/>
      <c r="AR131" s="29"/>
      <c r="AS131" s="30"/>
      <c r="AV131" s="316"/>
      <c r="AW131" s="316"/>
      <c r="AX131" s="316"/>
      <c r="AY131" s="316"/>
      <c r="AZ131" s="315"/>
      <c r="BC131" s="261"/>
      <c r="BD131" s="261"/>
      <c r="BE131" s="261"/>
      <c r="BF131" s="261"/>
      <c r="BJ131" s="285">
        <f t="shared" si="10"/>
        <v>0</v>
      </c>
      <c r="BK131" s="285">
        <f t="shared" si="11"/>
        <v>0</v>
      </c>
      <c r="BM131" s="261">
        <f t="shared" si="12"/>
        <v>0</v>
      </c>
      <c r="BN131" s="261">
        <f t="shared" si="13"/>
        <v>0</v>
      </c>
    </row>
    <row r="132" spans="3:66" ht="22.9" hidden="1" customHeight="1" x14ac:dyDescent="0.25">
      <c r="C132" s="171"/>
      <c r="D132" s="171"/>
      <c r="E132" s="152"/>
      <c r="F132" s="171"/>
      <c r="G132" s="171"/>
      <c r="H132" s="22"/>
      <c r="I132" s="172"/>
      <c r="J132" s="172"/>
      <c r="K132" s="171"/>
      <c r="L132" s="172"/>
      <c r="M132" s="172"/>
      <c r="N132" s="172"/>
      <c r="O132" s="172"/>
      <c r="P132" s="23"/>
      <c r="Q132" s="23"/>
      <c r="R132" s="172"/>
      <c r="S132" s="172"/>
      <c r="T132" s="172"/>
      <c r="U132" s="172"/>
      <c r="V132" s="20"/>
      <c r="W132" s="24"/>
      <c r="X132" s="24"/>
      <c r="Y132" s="25"/>
      <c r="Z132" s="25"/>
      <c r="AA132" s="25"/>
      <c r="AB132" s="25"/>
      <c r="AC132" s="25"/>
      <c r="AD132" s="24"/>
      <c r="AE132" s="24"/>
      <c r="AF132" s="24"/>
      <c r="AG132" s="24"/>
      <c r="AH132" s="25"/>
      <c r="AI132" s="26"/>
      <c r="AJ132" s="25"/>
      <c r="AK132" s="31"/>
      <c r="AL132" s="24"/>
      <c r="AM132" s="24"/>
      <c r="AN132" s="24"/>
      <c r="AO132" s="24"/>
      <c r="AP132" s="27"/>
      <c r="AQ132" s="28"/>
      <c r="AR132" s="29"/>
      <c r="AS132" s="30"/>
      <c r="AV132" s="316"/>
      <c r="AW132" s="316"/>
      <c r="AX132" s="316"/>
      <c r="AY132" s="316"/>
      <c r="AZ132" s="315"/>
      <c r="BC132" s="261"/>
      <c r="BD132" s="261"/>
      <c r="BE132" s="261"/>
      <c r="BF132" s="261"/>
      <c r="BJ132" s="285">
        <f t="shared" si="10"/>
        <v>0</v>
      </c>
      <c r="BK132" s="285">
        <f t="shared" si="11"/>
        <v>0</v>
      </c>
      <c r="BM132" s="261">
        <f t="shared" si="12"/>
        <v>0</v>
      </c>
      <c r="BN132" s="261">
        <f t="shared" si="13"/>
        <v>0</v>
      </c>
    </row>
    <row r="133" spans="3:66" ht="22.9" hidden="1" customHeight="1" x14ac:dyDescent="0.25">
      <c r="C133" s="171"/>
      <c r="D133" s="171"/>
      <c r="E133" s="152"/>
      <c r="F133" s="171"/>
      <c r="G133" s="171"/>
      <c r="H133" s="22"/>
      <c r="I133" s="172"/>
      <c r="J133" s="172"/>
      <c r="K133" s="171"/>
      <c r="L133" s="172"/>
      <c r="M133" s="172"/>
      <c r="N133" s="172"/>
      <c r="O133" s="172"/>
      <c r="P133" s="23"/>
      <c r="Q133" s="23"/>
      <c r="R133" s="172"/>
      <c r="S133" s="172"/>
      <c r="T133" s="172"/>
      <c r="U133" s="172"/>
      <c r="V133" s="20"/>
      <c r="W133" s="24"/>
      <c r="X133" s="24"/>
      <c r="Y133" s="25"/>
      <c r="Z133" s="25"/>
      <c r="AA133" s="25"/>
      <c r="AB133" s="25"/>
      <c r="AC133" s="25"/>
      <c r="AD133" s="24"/>
      <c r="AE133" s="24"/>
      <c r="AF133" s="24"/>
      <c r="AG133" s="24"/>
      <c r="AH133" s="25"/>
      <c r="AI133" s="26"/>
      <c r="AJ133" s="25"/>
      <c r="AK133" s="31"/>
      <c r="AL133" s="24"/>
      <c r="AM133" s="24"/>
      <c r="AN133" s="24"/>
      <c r="AO133" s="24"/>
      <c r="AP133" s="27"/>
      <c r="AQ133" s="28"/>
      <c r="AR133" s="29"/>
      <c r="AS133" s="30"/>
      <c r="AV133" s="316"/>
      <c r="AW133" s="316"/>
      <c r="AX133" s="316"/>
      <c r="AY133" s="316"/>
      <c r="AZ133" s="315"/>
      <c r="BC133" s="261"/>
      <c r="BD133" s="261"/>
      <c r="BE133" s="261"/>
      <c r="BF133" s="261"/>
      <c r="BJ133" s="285">
        <f t="shared" si="10"/>
        <v>0</v>
      </c>
      <c r="BK133" s="285">
        <f t="shared" si="11"/>
        <v>0</v>
      </c>
      <c r="BM133" s="261">
        <f t="shared" si="12"/>
        <v>0</v>
      </c>
      <c r="BN133" s="261">
        <f t="shared" si="13"/>
        <v>0</v>
      </c>
    </row>
    <row r="134" spans="3:66" ht="22.9" hidden="1" customHeight="1" x14ac:dyDescent="0.25">
      <c r="C134" s="171"/>
      <c r="D134" s="171"/>
      <c r="E134" s="152"/>
      <c r="F134" s="171"/>
      <c r="G134" s="171"/>
      <c r="H134" s="22"/>
      <c r="I134" s="172"/>
      <c r="J134" s="172"/>
      <c r="K134" s="171"/>
      <c r="L134" s="172"/>
      <c r="M134" s="172"/>
      <c r="N134" s="172"/>
      <c r="O134" s="172"/>
      <c r="P134" s="23"/>
      <c r="Q134" s="23"/>
      <c r="R134" s="172"/>
      <c r="S134" s="172"/>
      <c r="T134" s="172"/>
      <c r="U134" s="172"/>
      <c r="V134" s="20"/>
      <c r="W134" s="24"/>
      <c r="X134" s="24"/>
      <c r="Y134" s="25"/>
      <c r="Z134" s="25"/>
      <c r="AA134" s="25"/>
      <c r="AB134" s="25"/>
      <c r="AC134" s="25"/>
      <c r="AD134" s="24"/>
      <c r="AE134" s="24"/>
      <c r="AF134" s="24"/>
      <c r="AG134" s="24"/>
      <c r="AH134" s="25"/>
      <c r="AI134" s="26"/>
      <c r="AJ134" s="25"/>
      <c r="AK134" s="31"/>
      <c r="AL134" s="24"/>
      <c r="AM134" s="24"/>
      <c r="AN134" s="24"/>
      <c r="AO134" s="24"/>
      <c r="AP134" s="27"/>
      <c r="AQ134" s="28"/>
      <c r="AR134" s="29"/>
      <c r="AS134" s="30"/>
      <c r="AV134" s="316"/>
      <c r="AW134" s="316"/>
      <c r="AX134" s="316"/>
      <c r="AY134" s="316"/>
      <c r="AZ134" s="315"/>
      <c r="BC134" s="261"/>
      <c r="BD134" s="261"/>
      <c r="BE134" s="261"/>
      <c r="BF134" s="261"/>
      <c r="BJ134" s="285">
        <f t="shared" si="10"/>
        <v>0</v>
      </c>
      <c r="BK134" s="285">
        <f t="shared" si="11"/>
        <v>0</v>
      </c>
      <c r="BM134" s="261">
        <f t="shared" si="12"/>
        <v>0</v>
      </c>
      <c r="BN134" s="261">
        <f t="shared" si="13"/>
        <v>0</v>
      </c>
    </row>
    <row r="135" spans="3:66" ht="22.9" hidden="1" customHeight="1" x14ac:dyDescent="0.25">
      <c r="C135" s="171"/>
      <c r="D135" s="171"/>
      <c r="E135" s="152"/>
      <c r="F135" s="171"/>
      <c r="G135" s="171"/>
      <c r="H135" s="22"/>
      <c r="I135" s="172"/>
      <c r="J135" s="172"/>
      <c r="K135" s="171"/>
      <c r="L135" s="172"/>
      <c r="M135" s="172"/>
      <c r="N135" s="172"/>
      <c r="O135" s="172"/>
      <c r="P135" s="23"/>
      <c r="Q135" s="23"/>
      <c r="R135" s="172"/>
      <c r="S135" s="172"/>
      <c r="T135" s="172"/>
      <c r="U135" s="172"/>
      <c r="V135" s="20"/>
      <c r="W135" s="24"/>
      <c r="X135" s="24"/>
      <c r="Y135" s="25"/>
      <c r="Z135" s="25"/>
      <c r="AA135" s="25"/>
      <c r="AB135" s="25"/>
      <c r="AC135" s="25"/>
      <c r="AD135" s="24"/>
      <c r="AE135" s="24"/>
      <c r="AF135" s="24"/>
      <c r="AG135" s="24"/>
      <c r="AH135" s="25"/>
      <c r="AI135" s="26"/>
      <c r="AJ135" s="25"/>
      <c r="AK135" s="31"/>
      <c r="AL135" s="24"/>
      <c r="AM135" s="24"/>
      <c r="AN135" s="24"/>
      <c r="AO135" s="24"/>
      <c r="AP135" s="27"/>
      <c r="AQ135" s="28"/>
      <c r="AR135" s="29"/>
      <c r="AS135" s="30"/>
      <c r="AV135" s="316"/>
      <c r="AW135" s="316"/>
      <c r="AX135" s="316"/>
      <c r="AY135" s="316"/>
      <c r="AZ135" s="315"/>
      <c r="BC135" s="261"/>
      <c r="BD135" s="261"/>
      <c r="BE135" s="261"/>
      <c r="BF135" s="261"/>
      <c r="BJ135" s="285">
        <f t="shared" si="10"/>
        <v>0</v>
      </c>
      <c r="BK135" s="285">
        <f t="shared" si="11"/>
        <v>0</v>
      </c>
      <c r="BM135" s="261">
        <f t="shared" si="12"/>
        <v>0</v>
      </c>
      <c r="BN135" s="261">
        <f t="shared" si="13"/>
        <v>0</v>
      </c>
    </row>
    <row r="136" spans="3:66" ht="22.9" hidden="1" customHeight="1" x14ac:dyDescent="0.25">
      <c r="C136" s="171"/>
      <c r="D136" s="171"/>
      <c r="E136" s="152"/>
      <c r="F136" s="171"/>
      <c r="G136" s="171"/>
      <c r="H136" s="22"/>
      <c r="I136" s="172"/>
      <c r="J136" s="172"/>
      <c r="K136" s="171"/>
      <c r="L136" s="172"/>
      <c r="M136" s="172"/>
      <c r="N136" s="172"/>
      <c r="O136" s="172"/>
      <c r="P136" s="23"/>
      <c r="Q136" s="23"/>
      <c r="R136" s="172"/>
      <c r="S136" s="172"/>
      <c r="T136" s="172"/>
      <c r="U136" s="172"/>
      <c r="V136" s="20"/>
      <c r="W136" s="24"/>
      <c r="X136" s="24"/>
      <c r="Y136" s="25"/>
      <c r="Z136" s="25"/>
      <c r="AA136" s="25"/>
      <c r="AB136" s="25"/>
      <c r="AC136" s="25"/>
      <c r="AD136" s="24"/>
      <c r="AE136" s="24"/>
      <c r="AF136" s="24"/>
      <c r="AG136" s="24"/>
      <c r="AH136" s="25"/>
      <c r="AI136" s="26"/>
      <c r="AJ136" s="25"/>
      <c r="AK136" s="31"/>
      <c r="AL136" s="24"/>
      <c r="AM136" s="24"/>
      <c r="AN136" s="24"/>
      <c r="AO136" s="24"/>
      <c r="AP136" s="27"/>
      <c r="AQ136" s="28"/>
      <c r="AR136" s="29"/>
      <c r="AS136" s="30"/>
      <c r="AV136" s="316"/>
      <c r="AW136" s="316"/>
      <c r="AX136" s="316"/>
      <c r="AY136" s="316"/>
      <c r="AZ136" s="315"/>
      <c r="BC136" s="261"/>
      <c r="BD136" s="261"/>
      <c r="BE136" s="261"/>
      <c r="BF136" s="261"/>
      <c r="BJ136" s="285">
        <f t="shared" si="10"/>
        <v>0</v>
      </c>
      <c r="BK136" s="285">
        <f t="shared" si="11"/>
        <v>0</v>
      </c>
      <c r="BM136" s="261">
        <f t="shared" si="12"/>
        <v>0</v>
      </c>
      <c r="BN136" s="261">
        <f t="shared" si="13"/>
        <v>0</v>
      </c>
    </row>
    <row r="137" spans="3:66" ht="22.9" hidden="1" customHeight="1" x14ac:dyDescent="0.25">
      <c r="C137" s="171"/>
      <c r="D137" s="171"/>
      <c r="E137" s="152"/>
      <c r="F137" s="171"/>
      <c r="G137" s="171"/>
      <c r="H137" s="22"/>
      <c r="I137" s="172"/>
      <c r="J137" s="172"/>
      <c r="K137" s="171"/>
      <c r="L137" s="172"/>
      <c r="M137" s="172"/>
      <c r="N137" s="172"/>
      <c r="O137" s="172"/>
      <c r="P137" s="23"/>
      <c r="Q137" s="23"/>
      <c r="R137" s="172"/>
      <c r="S137" s="172"/>
      <c r="T137" s="172"/>
      <c r="U137" s="172"/>
      <c r="V137" s="20"/>
      <c r="W137" s="24"/>
      <c r="X137" s="24"/>
      <c r="Y137" s="25"/>
      <c r="Z137" s="25"/>
      <c r="AA137" s="25"/>
      <c r="AB137" s="25"/>
      <c r="AC137" s="25"/>
      <c r="AD137" s="24"/>
      <c r="AE137" s="24"/>
      <c r="AF137" s="24"/>
      <c r="AG137" s="24"/>
      <c r="AH137" s="25"/>
      <c r="AI137" s="26"/>
      <c r="AJ137" s="25"/>
      <c r="AK137" s="31"/>
      <c r="AL137" s="24"/>
      <c r="AM137" s="24"/>
      <c r="AN137" s="24"/>
      <c r="AO137" s="24"/>
      <c r="AP137" s="27"/>
      <c r="AQ137" s="28"/>
      <c r="AR137" s="29"/>
      <c r="AS137" s="30"/>
      <c r="AV137" s="316"/>
      <c r="AW137" s="316"/>
      <c r="AX137" s="316"/>
      <c r="AY137" s="316"/>
      <c r="AZ137" s="315"/>
      <c r="BC137" s="261"/>
      <c r="BD137" s="261"/>
      <c r="BE137" s="261"/>
      <c r="BF137" s="261"/>
      <c r="BJ137" s="285">
        <f t="shared" si="10"/>
        <v>0</v>
      </c>
      <c r="BK137" s="285">
        <f t="shared" si="11"/>
        <v>0</v>
      </c>
      <c r="BM137" s="261">
        <f t="shared" si="12"/>
        <v>0</v>
      </c>
      <c r="BN137" s="261">
        <f t="shared" si="13"/>
        <v>0</v>
      </c>
    </row>
    <row r="138" spans="3:66" s="180" customFormat="1" ht="22.9" hidden="1" customHeight="1" x14ac:dyDescent="0.25">
      <c r="C138" s="171"/>
      <c r="D138" s="171"/>
      <c r="E138" s="152"/>
      <c r="F138" s="171"/>
      <c r="G138" s="171"/>
      <c r="H138" s="22"/>
      <c r="I138" s="172"/>
      <c r="J138" s="172"/>
      <c r="K138" s="171"/>
      <c r="L138" s="172"/>
      <c r="M138" s="172"/>
      <c r="N138" s="172"/>
      <c r="O138" s="172"/>
      <c r="P138" s="23"/>
      <c r="Q138" s="23"/>
      <c r="R138" s="172"/>
      <c r="S138" s="172"/>
      <c r="T138" s="172"/>
      <c r="U138" s="172"/>
      <c r="V138" s="20"/>
      <c r="W138" s="24"/>
      <c r="X138" s="24"/>
      <c r="Y138" s="24"/>
      <c r="Z138" s="24"/>
      <c r="AA138" s="24"/>
      <c r="AB138" s="24"/>
      <c r="AC138" s="24"/>
      <c r="AD138" s="24"/>
      <c r="AE138" s="24"/>
      <c r="AF138" s="24"/>
      <c r="AG138" s="24"/>
      <c r="AH138" s="25"/>
      <c r="AI138" s="26"/>
      <c r="AJ138" s="25"/>
      <c r="AK138" s="31"/>
      <c r="AL138" s="24"/>
      <c r="AM138" s="24"/>
      <c r="AN138" s="24"/>
      <c r="AO138" s="24"/>
      <c r="AP138" s="27"/>
      <c r="AQ138" s="28"/>
      <c r="AR138" s="29"/>
      <c r="AS138" s="30"/>
      <c r="AV138" s="316"/>
      <c r="AW138" s="316"/>
      <c r="AX138" s="316"/>
      <c r="AY138" s="316"/>
      <c r="AZ138" s="315"/>
      <c r="BA138" s="165"/>
      <c r="BB138" s="165"/>
      <c r="BC138" s="261"/>
      <c r="BD138" s="261"/>
      <c r="BE138" s="261"/>
      <c r="BF138" s="261"/>
      <c r="BJ138" s="285">
        <f t="shared" si="10"/>
        <v>0</v>
      </c>
      <c r="BK138" s="285">
        <f t="shared" si="11"/>
        <v>0</v>
      </c>
      <c r="BL138" s="165"/>
      <c r="BM138" s="261">
        <f t="shared" si="12"/>
        <v>0</v>
      </c>
      <c r="BN138" s="261">
        <f t="shared" si="13"/>
        <v>0</v>
      </c>
    </row>
    <row r="139" spans="3:66" ht="22.9" hidden="1" customHeight="1" x14ac:dyDescent="0.25">
      <c r="C139" s="171"/>
      <c r="D139" s="131"/>
      <c r="E139" s="152"/>
      <c r="F139" s="171"/>
      <c r="G139" s="171"/>
      <c r="H139" s="22"/>
      <c r="I139" s="172"/>
      <c r="J139" s="172"/>
      <c r="K139" s="171"/>
      <c r="L139" s="172"/>
      <c r="M139" s="172"/>
      <c r="N139" s="172"/>
      <c r="O139" s="172"/>
      <c r="P139" s="23"/>
      <c r="Q139" s="23"/>
      <c r="R139" s="172"/>
      <c r="S139" s="172"/>
      <c r="T139" s="172"/>
      <c r="U139" s="172"/>
      <c r="V139" s="20"/>
      <c r="W139" s="24"/>
      <c r="X139" s="24"/>
      <c r="Y139" s="24"/>
      <c r="Z139" s="24"/>
      <c r="AA139" s="24"/>
      <c r="AB139" s="24"/>
      <c r="AC139" s="24"/>
      <c r="AD139" s="24"/>
      <c r="AE139" s="24"/>
      <c r="AF139" s="24"/>
      <c r="AG139" s="24"/>
      <c r="AH139" s="25"/>
      <c r="AI139" s="26"/>
      <c r="AJ139" s="25"/>
      <c r="AK139" s="31"/>
      <c r="AL139" s="24"/>
      <c r="AM139" s="24"/>
      <c r="AN139" s="24"/>
      <c r="AO139" s="24"/>
      <c r="AP139" s="27"/>
      <c r="AQ139" s="28"/>
      <c r="AR139" s="29"/>
      <c r="AS139" s="30"/>
      <c r="AV139" s="316"/>
      <c r="AW139" s="316"/>
      <c r="AX139" s="316"/>
      <c r="AY139" s="316"/>
      <c r="AZ139" s="315"/>
      <c r="BC139" s="261"/>
      <c r="BD139" s="261"/>
      <c r="BE139" s="261"/>
      <c r="BF139" s="261"/>
      <c r="BJ139" s="285">
        <f t="shared" si="10"/>
        <v>0</v>
      </c>
      <c r="BK139" s="285">
        <f t="shared" si="11"/>
        <v>0</v>
      </c>
      <c r="BM139" s="261">
        <f t="shared" si="12"/>
        <v>0</v>
      </c>
      <c r="BN139" s="261">
        <f t="shared" si="13"/>
        <v>0</v>
      </c>
    </row>
    <row r="140" spans="3:66" ht="22.9" hidden="1" customHeight="1" x14ac:dyDescent="0.25">
      <c r="C140" s="171"/>
      <c r="D140" s="171"/>
      <c r="E140" s="152"/>
      <c r="F140" s="171"/>
      <c r="G140" s="171"/>
      <c r="H140" s="22"/>
      <c r="I140" s="172"/>
      <c r="J140" s="172"/>
      <c r="K140" s="171"/>
      <c r="L140" s="172"/>
      <c r="M140" s="172"/>
      <c r="N140" s="172"/>
      <c r="O140" s="172"/>
      <c r="P140" s="23"/>
      <c r="Q140" s="23"/>
      <c r="R140" s="172"/>
      <c r="S140" s="172"/>
      <c r="T140" s="172"/>
      <c r="U140" s="172"/>
      <c r="V140" s="20"/>
      <c r="W140" s="24"/>
      <c r="X140" s="24"/>
      <c r="Y140" s="25"/>
      <c r="Z140" s="25"/>
      <c r="AA140" s="25"/>
      <c r="AB140" s="25"/>
      <c r="AC140" s="25"/>
      <c r="AD140" s="24"/>
      <c r="AE140" s="24"/>
      <c r="AF140" s="24"/>
      <c r="AG140" s="24"/>
      <c r="AH140" s="25"/>
      <c r="AI140" s="26"/>
      <c r="AJ140" s="25"/>
      <c r="AK140" s="31"/>
      <c r="AL140" s="24"/>
      <c r="AM140" s="24"/>
      <c r="AN140" s="24"/>
      <c r="AO140" s="24"/>
      <c r="AP140" s="27"/>
      <c r="AQ140" s="28"/>
      <c r="AR140" s="29"/>
      <c r="AS140" s="30"/>
      <c r="AV140" s="316"/>
      <c r="AW140" s="316"/>
      <c r="AX140" s="316"/>
      <c r="AY140" s="316"/>
      <c r="AZ140" s="315"/>
      <c r="BC140" s="261"/>
      <c r="BD140" s="261"/>
      <c r="BE140" s="261"/>
      <c r="BF140" s="261"/>
      <c r="BJ140" s="285">
        <f t="shared" si="10"/>
        <v>0</v>
      </c>
      <c r="BK140" s="285">
        <f t="shared" si="11"/>
        <v>0</v>
      </c>
      <c r="BM140" s="261">
        <f t="shared" si="12"/>
        <v>0</v>
      </c>
      <c r="BN140" s="261">
        <f t="shared" si="13"/>
        <v>0</v>
      </c>
    </row>
    <row r="141" spans="3:66" ht="22.9" hidden="1" customHeight="1" x14ac:dyDescent="0.25">
      <c r="C141" s="171"/>
      <c r="D141" s="171"/>
      <c r="E141" s="152"/>
      <c r="F141" s="171"/>
      <c r="G141" s="171"/>
      <c r="H141" s="22"/>
      <c r="I141" s="172"/>
      <c r="J141" s="172"/>
      <c r="K141" s="171"/>
      <c r="L141" s="172"/>
      <c r="M141" s="172"/>
      <c r="N141" s="172"/>
      <c r="O141" s="172"/>
      <c r="P141" s="23"/>
      <c r="Q141" s="23"/>
      <c r="R141" s="172"/>
      <c r="S141" s="172"/>
      <c r="T141" s="172"/>
      <c r="U141" s="172"/>
      <c r="V141" s="20"/>
      <c r="W141" s="24"/>
      <c r="X141" s="24"/>
      <c r="Y141" s="25"/>
      <c r="Z141" s="25"/>
      <c r="AA141" s="25"/>
      <c r="AB141" s="25"/>
      <c r="AC141" s="25"/>
      <c r="AD141" s="24"/>
      <c r="AE141" s="24"/>
      <c r="AF141" s="24"/>
      <c r="AG141" s="24"/>
      <c r="AH141" s="25"/>
      <c r="AI141" s="26"/>
      <c r="AJ141" s="25"/>
      <c r="AK141" s="31"/>
      <c r="AL141" s="24"/>
      <c r="AM141" s="24"/>
      <c r="AN141" s="24"/>
      <c r="AO141" s="24"/>
      <c r="AP141" s="27"/>
      <c r="AQ141" s="28"/>
      <c r="AR141" s="29"/>
      <c r="AS141" s="30"/>
      <c r="AV141" s="316"/>
      <c r="AW141" s="316"/>
      <c r="AX141" s="316"/>
      <c r="AY141" s="316"/>
      <c r="AZ141" s="315"/>
      <c r="BC141" s="261"/>
      <c r="BD141" s="261"/>
      <c r="BE141" s="261"/>
      <c r="BF141" s="261"/>
      <c r="BJ141" s="285">
        <f t="shared" si="10"/>
        <v>0</v>
      </c>
      <c r="BK141" s="285">
        <f t="shared" si="11"/>
        <v>0</v>
      </c>
      <c r="BM141" s="261">
        <f t="shared" si="12"/>
        <v>0</v>
      </c>
      <c r="BN141" s="261">
        <f t="shared" si="13"/>
        <v>0</v>
      </c>
    </row>
    <row r="142" spans="3:66" ht="22.9" hidden="1" customHeight="1" x14ac:dyDescent="0.25">
      <c r="C142" s="171"/>
      <c r="D142" s="171"/>
      <c r="E142" s="152"/>
      <c r="F142" s="171"/>
      <c r="G142" s="171"/>
      <c r="H142" s="22"/>
      <c r="I142" s="172"/>
      <c r="J142" s="172"/>
      <c r="K142" s="171"/>
      <c r="L142" s="172"/>
      <c r="M142" s="172"/>
      <c r="N142" s="172"/>
      <c r="O142" s="172"/>
      <c r="P142" s="23"/>
      <c r="Q142" s="23"/>
      <c r="R142" s="172"/>
      <c r="S142" s="172"/>
      <c r="T142" s="172"/>
      <c r="U142" s="172"/>
      <c r="V142" s="20"/>
      <c r="W142" s="24"/>
      <c r="X142" s="24"/>
      <c r="Y142" s="25"/>
      <c r="Z142" s="25"/>
      <c r="AA142" s="25"/>
      <c r="AB142" s="25"/>
      <c r="AC142" s="25"/>
      <c r="AD142" s="24"/>
      <c r="AE142" s="24"/>
      <c r="AF142" s="24"/>
      <c r="AG142" s="24"/>
      <c r="AH142" s="25"/>
      <c r="AI142" s="26"/>
      <c r="AJ142" s="25"/>
      <c r="AK142" s="31"/>
      <c r="AL142" s="24"/>
      <c r="AM142" s="24"/>
      <c r="AN142" s="24"/>
      <c r="AO142" s="24"/>
      <c r="AP142" s="27"/>
      <c r="AQ142" s="28"/>
      <c r="AR142" s="29"/>
      <c r="AS142" s="30"/>
      <c r="AV142" s="316"/>
      <c r="AW142" s="316"/>
      <c r="AX142" s="316"/>
      <c r="AY142" s="316"/>
      <c r="AZ142" s="315"/>
      <c r="BC142" s="261"/>
      <c r="BD142" s="261"/>
      <c r="BE142" s="261"/>
      <c r="BF142" s="261"/>
      <c r="BJ142" s="285">
        <f t="shared" si="10"/>
        <v>0</v>
      </c>
      <c r="BK142" s="285">
        <f t="shared" si="11"/>
        <v>0</v>
      </c>
      <c r="BM142" s="261">
        <f t="shared" si="12"/>
        <v>0</v>
      </c>
      <c r="BN142" s="261">
        <f t="shared" si="13"/>
        <v>0</v>
      </c>
    </row>
    <row r="143" spans="3:66" ht="22.9" hidden="1" customHeight="1" x14ac:dyDescent="0.25">
      <c r="C143" s="171"/>
      <c r="D143" s="171"/>
      <c r="E143" s="152"/>
      <c r="F143" s="171"/>
      <c r="G143" s="171"/>
      <c r="H143" s="22"/>
      <c r="I143" s="172"/>
      <c r="J143" s="172"/>
      <c r="K143" s="171"/>
      <c r="L143" s="172"/>
      <c r="M143" s="172"/>
      <c r="N143" s="172"/>
      <c r="O143" s="172"/>
      <c r="P143" s="23"/>
      <c r="Q143" s="23"/>
      <c r="R143" s="172"/>
      <c r="S143" s="172"/>
      <c r="T143" s="172"/>
      <c r="U143" s="172"/>
      <c r="V143" s="20"/>
      <c r="W143" s="24"/>
      <c r="X143" s="24"/>
      <c r="Y143" s="25"/>
      <c r="Z143" s="25"/>
      <c r="AA143" s="25"/>
      <c r="AB143" s="25"/>
      <c r="AC143" s="25"/>
      <c r="AD143" s="24"/>
      <c r="AE143" s="24"/>
      <c r="AF143" s="24"/>
      <c r="AG143" s="24"/>
      <c r="AH143" s="25"/>
      <c r="AI143" s="26"/>
      <c r="AJ143" s="25"/>
      <c r="AK143" s="31"/>
      <c r="AL143" s="24"/>
      <c r="AM143" s="24"/>
      <c r="AN143" s="24"/>
      <c r="AO143" s="24"/>
      <c r="AP143" s="27"/>
      <c r="AQ143" s="28"/>
      <c r="AR143" s="29"/>
      <c r="AS143" s="30"/>
      <c r="AV143" s="316"/>
      <c r="AW143" s="316"/>
      <c r="AX143" s="316"/>
      <c r="AY143" s="316"/>
      <c r="AZ143" s="315"/>
      <c r="BC143" s="261"/>
      <c r="BD143" s="261"/>
      <c r="BE143" s="261"/>
      <c r="BF143" s="261"/>
      <c r="BJ143" s="285">
        <f t="shared" si="10"/>
        <v>0</v>
      </c>
      <c r="BK143" s="285">
        <f t="shared" si="11"/>
        <v>0</v>
      </c>
      <c r="BM143" s="261">
        <f t="shared" si="12"/>
        <v>0</v>
      </c>
      <c r="BN143" s="261">
        <f t="shared" si="13"/>
        <v>0</v>
      </c>
    </row>
    <row r="144" spans="3:66" ht="22.9" hidden="1" customHeight="1" x14ac:dyDescent="0.25">
      <c r="C144" s="171"/>
      <c r="D144" s="171"/>
      <c r="E144" s="152"/>
      <c r="F144" s="171"/>
      <c r="G144" s="171"/>
      <c r="H144" s="22"/>
      <c r="I144" s="172"/>
      <c r="J144" s="172"/>
      <c r="K144" s="171"/>
      <c r="L144" s="172"/>
      <c r="M144" s="172"/>
      <c r="N144" s="172"/>
      <c r="O144" s="172"/>
      <c r="P144" s="23"/>
      <c r="Q144" s="23"/>
      <c r="R144" s="172"/>
      <c r="S144" s="172"/>
      <c r="T144" s="172"/>
      <c r="U144" s="172"/>
      <c r="V144" s="20"/>
      <c r="W144" s="24"/>
      <c r="X144" s="24"/>
      <c r="Y144" s="25"/>
      <c r="Z144" s="25"/>
      <c r="AA144" s="25"/>
      <c r="AB144" s="25"/>
      <c r="AC144" s="25"/>
      <c r="AD144" s="24"/>
      <c r="AE144" s="24"/>
      <c r="AF144" s="24"/>
      <c r="AG144" s="24"/>
      <c r="AH144" s="25"/>
      <c r="AI144" s="26"/>
      <c r="AJ144" s="25"/>
      <c r="AK144" s="31"/>
      <c r="AL144" s="24"/>
      <c r="AM144" s="24"/>
      <c r="AN144" s="24"/>
      <c r="AO144" s="24"/>
      <c r="AP144" s="27"/>
      <c r="AQ144" s="28"/>
      <c r="AR144" s="29"/>
      <c r="AS144" s="30"/>
      <c r="AV144" s="316"/>
      <c r="AW144" s="316"/>
      <c r="AX144" s="316"/>
      <c r="AY144" s="316"/>
      <c r="AZ144" s="315"/>
      <c r="BC144" s="261"/>
      <c r="BD144" s="261"/>
      <c r="BE144" s="261"/>
      <c r="BF144" s="261"/>
      <c r="BJ144" s="285">
        <f t="shared" si="10"/>
        <v>0</v>
      </c>
      <c r="BK144" s="285">
        <f t="shared" si="11"/>
        <v>0</v>
      </c>
      <c r="BM144" s="261">
        <f t="shared" si="12"/>
        <v>0</v>
      </c>
      <c r="BN144" s="261">
        <f t="shared" si="13"/>
        <v>0</v>
      </c>
    </row>
    <row r="145" spans="3:66" ht="22.9" hidden="1" customHeight="1" x14ac:dyDescent="0.25">
      <c r="C145" s="171"/>
      <c r="D145" s="171"/>
      <c r="E145" s="152"/>
      <c r="F145" s="171"/>
      <c r="G145" s="171"/>
      <c r="H145" s="22"/>
      <c r="I145" s="172"/>
      <c r="J145" s="172"/>
      <c r="K145" s="171"/>
      <c r="L145" s="172"/>
      <c r="M145" s="172"/>
      <c r="N145" s="172"/>
      <c r="O145" s="172"/>
      <c r="P145" s="23"/>
      <c r="Q145" s="23"/>
      <c r="R145" s="172"/>
      <c r="S145" s="172"/>
      <c r="T145" s="172"/>
      <c r="U145" s="172"/>
      <c r="V145" s="20"/>
      <c r="W145" s="24"/>
      <c r="X145" s="24"/>
      <c r="Y145" s="25"/>
      <c r="Z145" s="25"/>
      <c r="AA145" s="25"/>
      <c r="AB145" s="25"/>
      <c r="AC145" s="25"/>
      <c r="AD145" s="24"/>
      <c r="AE145" s="24"/>
      <c r="AF145" s="24"/>
      <c r="AG145" s="24"/>
      <c r="AH145" s="25"/>
      <c r="AI145" s="26"/>
      <c r="AJ145" s="25"/>
      <c r="AK145" s="31"/>
      <c r="AL145" s="24"/>
      <c r="AM145" s="24"/>
      <c r="AN145" s="24"/>
      <c r="AO145" s="24"/>
      <c r="AP145" s="27"/>
      <c r="AQ145" s="28"/>
      <c r="AR145" s="29"/>
      <c r="AS145" s="30"/>
      <c r="AV145" s="316"/>
      <c r="AW145" s="316"/>
      <c r="AX145" s="316"/>
      <c r="AY145" s="316"/>
      <c r="AZ145" s="315"/>
      <c r="BC145" s="261"/>
      <c r="BD145" s="261"/>
      <c r="BE145" s="261"/>
      <c r="BF145" s="261"/>
      <c r="BJ145" s="285">
        <f t="shared" si="10"/>
        <v>0</v>
      </c>
      <c r="BK145" s="285">
        <f t="shared" si="11"/>
        <v>0</v>
      </c>
      <c r="BM145" s="261">
        <f t="shared" si="12"/>
        <v>0</v>
      </c>
      <c r="BN145" s="261">
        <f t="shared" si="13"/>
        <v>0</v>
      </c>
    </row>
    <row r="146" spans="3:66" ht="22.9" hidden="1" customHeight="1" x14ac:dyDescent="0.25">
      <c r="C146" s="171"/>
      <c r="D146" s="171"/>
      <c r="E146" s="152"/>
      <c r="F146" s="171"/>
      <c r="G146" s="171"/>
      <c r="H146" s="22"/>
      <c r="I146" s="172"/>
      <c r="J146" s="172"/>
      <c r="K146" s="171"/>
      <c r="L146" s="172"/>
      <c r="M146" s="172"/>
      <c r="N146" s="172"/>
      <c r="O146" s="172"/>
      <c r="P146" s="23"/>
      <c r="Q146" s="23"/>
      <c r="R146" s="172"/>
      <c r="S146" s="172"/>
      <c r="T146" s="172"/>
      <c r="U146" s="172"/>
      <c r="V146" s="20"/>
      <c r="W146" s="24"/>
      <c r="X146" s="24"/>
      <c r="Y146" s="25"/>
      <c r="Z146" s="25"/>
      <c r="AA146" s="25"/>
      <c r="AB146" s="25"/>
      <c r="AC146" s="25"/>
      <c r="AD146" s="24"/>
      <c r="AE146" s="24"/>
      <c r="AF146" s="24"/>
      <c r="AG146" s="24"/>
      <c r="AH146" s="25"/>
      <c r="AI146" s="26"/>
      <c r="AJ146" s="25"/>
      <c r="AK146" s="31"/>
      <c r="AL146" s="24"/>
      <c r="AM146" s="24"/>
      <c r="AN146" s="24"/>
      <c r="AO146" s="24"/>
      <c r="AP146" s="27"/>
      <c r="AQ146" s="28"/>
      <c r="AR146" s="29"/>
      <c r="AS146" s="30"/>
      <c r="AV146" s="316"/>
      <c r="AW146" s="316"/>
      <c r="AX146" s="316"/>
      <c r="AY146" s="316"/>
      <c r="AZ146" s="315"/>
      <c r="BC146" s="261"/>
      <c r="BD146" s="261"/>
      <c r="BE146" s="261"/>
      <c r="BF146" s="261"/>
      <c r="BJ146" s="285">
        <f t="shared" si="10"/>
        <v>0</v>
      </c>
      <c r="BK146" s="285">
        <f t="shared" si="11"/>
        <v>0</v>
      </c>
      <c r="BM146" s="261">
        <f t="shared" si="12"/>
        <v>0</v>
      </c>
      <c r="BN146" s="261">
        <f t="shared" si="13"/>
        <v>0</v>
      </c>
    </row>
    <row r="147" spans="3:66" ht="22.9" hidden="1" customHeight="1" x14ac:dyDescent="0.25">
      <c r="C147" s="171"/>
      <c r="D147" s="171"/>
      <c r="E147" s="152"/>
      <c r="F147" s="171"/>
      <c r="G147" s="171"/>
      <c r="H147" s="22"/>
      <c r="I147" s="172"/>
      <c r="J147" s="172"/>
      <c r="K147" s="171"/>
      <c r="L147" s="172"/>
      <c r="M147" s="172"/>
      <c r="N147" s="172"/>
      <c r="O147" s="172"/>
      <c r="P147" s="23"/>
      <c r="Q147" s="23"/>
      <c r="R147" s="172"/>
      <c r="S147" s="172"/>
      <c r="T147" s="172"/>
      <c r="U147" s="172"/>
      <c r="V147" s="20"/>
      <c r="W147" s="24"/>
      <c r="X147" s="24"/>
      <c r="Y147" s="25"/>
      <c r="Z147" s="25"/>
      <c r="AA147" s="25"/>
      <c r="AB147" s="25"/>
      <c r="AC147" s="25"/>
      <c r="AD147" s="24"/>
      <c r="AE147" s="24"/>
      <c r="AF147" s="24"/>
      <c r="AG147" s="24"/>
      <c r="AH147" s="25"/>
      <c r="AI147" s="26"/>
      <c r="AJ147" s="25"/>
      <c r="AK147" s="31"/>
      <c r="AL147" s="24"/>
      <c r="AM147" s="24"/>
      <c r="AN147" s="24"/>
      <c r="AO147" s="24"/>
      <c r="AP147" s="27"/>
      <c r="AQ147" s="28"/>
      <c r="AR147" s="29"/>
      <c r="AS147" s="30"/>
      <c r="AV147" s="316"/>
      <c r="AW147" s="316"/>
      <c r="AX147" s="316"/>
      <c r="AY147" s="316"/>
      <c r="AZ147" s="315"/>
      <c r="BC147" s="261"/>
      <c r="BD147" s="261"/>
      <c r="BE147" s="261"/>
      <c r="BF147" s="261"/>
      <c r="BJ147" s="285">
        <f t="shared" si="10"/>
        <v>0</v>
      </c>
      <c r="BK147" s="285">
        <f t="shared" si="11"/>
        <v>0</v>
      </c>
      <c r="BM147" s="261">
        <f t="shared" si="12"/>
        <v>0</v>
      </c>
      <c r="BN147" s="261">
        <f t="shared" si="13"/>
        <v>0</v>
      </c>
    </row>
    <row r="148" spans="3:66" ht="22.9" hidden="1" customHeight="1" x14ac:dyDescent="0.25">
      <c r="C148" s="171"/>
      <c r="D148" s="171"/>
      <c r="E148" s="152"/>
      <c r="F148" s="171"/>
      <c r="G148" s="171"/>
      <c r="H148" s="22"/>
      <c r="I148" s="172"/>
      <c r="J148" s="172"/>
      <c r="K148" s="171"/>
      <c r="L148" s="172"/>
      <c r="M148" s="172"/>
      <c r="N148" s="172"/>
      <c r="O148" s="172"/>
      <c r="P148" s="23"/>
      <c r="Q148" s="23"/>
      <c r="R148" s="172"/>
      <c r="S148" s="172"/>
      <c r="T148" s="172"/>
      <c r="U148" s="172"/>
      <c r="V148" s="20"/>
      <c r="W148" s="24"/>
      <c r="X148" s="24"/>
      <c r="Y148" s="25"/>
      <c r="Z148" s="25"/>
      <c r="AA148" s="25"/>
      <c r="AB148" s="25"/>
      <c r="AC148" s="25"/>
      <c r="AD148" s="24"/>
      <c r="AE148" s="24"/>
      <c r="AF148" s="24"/>
      <c r="AG148" s="24"/>
      <c r="AH148" s="25"/>
      <c r="AI148" s="26"/>
      <c r="AJ148" s="25"/>
      <c r="AK148" s="31"/>
      <c r="AL148" s="24"/>
      <c r="AM148" s="24"/>
      <c r="AN148" s="24"/>
      <c r="AO148" s="24"/>
      <c r="AP148" s="27"/>
      <c r="AQ148" s="28"/>
      <c r="AR148" s="29"/>
      <c r="AS148" s="30"/>
      <c r="AV148" s="316"/>
      <c r="AW148" s="316"/>
      <c r="AX148" s="316"/>
      <c r="AY148" s="316"/>
      <c r="AZ148" s="315"/>
      <c r="BC148" s="261"/>
      <c r="BD148" s="261"/>
      <c r="BE148" s="261"/>
      <c r="BF148" s="261"/>
      <c r="BJ148" s="285">
        <f t="shared" si="10"/>
        <v>0</v>
      </c>
      <c r="BK148" s="285">
        <f t="shared" si="11"/>
        <v>0</v>
      </c>
      <c r="BM148" s="261">
        <f t="shared" si="12"/>
        <v>0</v>
      </c>
      <c r="BN148" s="261">
        <f t="shared" si="13"/>
        <v>0</v>
      </c>
    </row>
    <row r="149" spans="3:66" ht="22.9" hidden="1" customHeight="1" x14ac:dyDescent="0.25">
      <c r="C149" s="171"/>
      <c r="D149" s="171"/>
      <c r="E149" s="152"/>
      <c r="F149" s="171"/>
      <c r="G149" s="171"/>
      <c r="H149" s="22"/>
      <c r="I149" s="172"/>
      <c r="J149" s="172"/>
      <c r="K149" s="171"/>
      <c r="L149" s="172"/>
      <c r="M149" s="172"/>
      <c r="N149" s="172"/>
      <c r="O149" s="172"/>
      <c r="P149" s="23"/>
      <c r="Q149" s="23"/>
      <c r="R149" s="172"/>
      <c r="S149" s="172"/>
      <c r="T149" s="172"/>
      <c r="U149" s="172"/>
      <c r="V149" s="20"/>
      <c r="W149" s="24"/>
      <c r="X149" s="24"/>
      <c r="Y149" s="25"/>
      <c r="Z149" s="25"/>
      <c r="AA149" s="25"/>
      <c r="AB149" s="25"/>
      <c r="AC149" s="25"/>
      <c r="AD149" s="24"/>
      <c r="AE149" s="24"/>
      <c r="AF149" s="24"/>
      <c r="AG149" s="24"/>
      <c r="AH149" s="25"/>
      <c r="AI149" s="26"/>
      <c r="AJ149" s="25"/>
      <c r="AK149" s="31"/>
      <c r="AL149" s="24"/>
      <c r="AM149" s="24"/>
      <c r="AN149" s="24"/>
      <c r="AO149" s="24"/>
      <c r="AP149" s="27"/>
      <c r="AQ149" s="28"/>
      <c r="AR149" s="29"/>
      <c r="AS149" s="30"/>
      <c r="AV149" s="316"/>
      <c r="AW149" s="316"/>
      <c r="AX149" s="316"/>
      <c r="AY149" s="316"/>
      <c r="AZ149" s="315"/>
      <c r="BC149" s="261"/>
      <c r="BD149" s="261"/>
      <c r="BE149" s="261"/>
      <c r="BF149" s="261"/>
      <c r="BJ149" s="285">
        <f t="shared" si="10"/>
        <v>0</v>
      </c>
      <c r="BK149" s="285">
        <f t="shared" si="11"/>
        <v>0</v>
      </c>
      <c r="BM149" s="261">
        <f t="shared" si="12"/>
        <v>0</v>
      </c>
      <c r="BN149" s="261">
        <f t="shared" si="13"/>
        <v>0</v>
      </c>
    </row>
    <row r="150" spans="3:66" ht="22.9" hidden="1" customHeight="1" x14ac:dyDescent="0.25">
      <c r="C150" s="171"/>
      <c r="D150" s="171"/>
      <c r="E150" s="152"/>
      <c r="F150" s="171"/>
      <c r="G150" s="171"/>
      <c r="H150" s="22"/>
      <c r="I150" s="172"/>
      <c r="J150" s="172"/>
      <c r="K150" s="171"/>
      <c r="L150" s="172"/>
      <c r="M150" s="172"/>
      <c r="N150" s="172"/>
      <c r="O150" s="172"/>
      <c r="P150" s="23"/>
      <c r="Q150" s="23"/>
      <c r="R150" s="172"/>
      <c r="S150" s="172"/>
      <c r="T150" s="172"/>
      <c r="U150" s="172"/>
      <c r="V150" s="20"/>
      <c r="W150" s="24"/>
      <c r="X150" s="24"/>
      <c r="Y150" s="25"/>
      <c r="Z150" s="25"/>
      <c r="AA150" s="25"/>
      <c r="AB150" s="25"/>
      <c r="AC150" s="25"/>
      <c r="AD150" s="24"/>
      <c r="AE150" s="24"/>
      <c r="AF150" s="24"/>
      <c r="AG150" s="24"/>
      <c r="AH150" s="25"/>
      <c r="AI150" s="26"/>
      <c r="AJ150" s="25"/>
      <c r="AK150" s="31"/>
      <c r="AL150" s="24"/>
      <c r="AM150" s="24"/>
      <c r="AN150" s="24"/>
      <c r="AO150" s="24"/>
      <c r="AP150" s="27"/>
      <c r="AQ150" s="28"/>
      <c r="AR150" s="29"/>
      <c r="AS150" s="30"/>
      <c r="AV150" s="316"/>
      <c r="AW150" s="316"/>
      <c r="AX150" s="316"/>
      <c r="AY150" s="316"/>
      <c r="AZ150" s="315"/>
      <c r="BC150" s="261"/>
      <c r="BD150" s="261"/>
      <c r="BE150" s="261"/>
      <c r="BF150" s="261"/>
      <c r="BJ150" s="285">
        <f t="shared" si="10"/>
        <v>0</v>
      </c>
      <c r="BK150" s="285">
        <f t="shared" si="11"/>
        <v>0</v>
      </c>
      <c r="BM150" s="261">
        <f t="shared" si="12"/>
        <v>0</v>
      </c>
      <c r="BN150" s="261">
        <f t="shared" si="13"/>
        <v>0</v>
      </c>
    </row>
    <row r="151" spans="3:66" ht="22.9" hidden="1" customHeight="1" x14ac:dyDescent="0.25">
      <c r="C151" s="171"/>
      <c r="D151" s="171"/>
      <c r="E151" s="152"/>
      <c r="F151" s="171"/>
      <c r="G151" s="171"/>
      <c r="H151" s="22"/>
      <c r="I151" s="172"/>
      <c r="J151" s="172"/>
      <c r="K151" s="171"/>
      <c r="L151" s="172"/>
      <c r="M151" s="172"/>
      <c r="N151" s="172"/>
      <c r="O151" s="172"/>
      <c r="P151" s="23"/>
      <c r="Q151" s="23"/>
      <c r="R151" s="172"/>
      <c r="S151" s="172"/>
      <c r="T151" s="172"/>
      <c r="U151" s="172"/>
      <c r="V151" s="20"/>
      <c r="W151" s="24"/>
      <c r="X151" s="24"/>
      <c r="Y151" s="24"/>
      <c r="Z151" s="24"/>
      <c r="AA151" s="24"/>
      <c r="AB151" s="24"/>
      <c r="AC151" s="24"/>
      <c r="AD151" s="24"/>
      <c r="AE151" s="24"/>
      <c r="AF151" s="24"/>
      <c r="AG151" s="24"/>
      <c r="AH151" s="25"/>
      <c r="AI151" s="26"/>
      <c r="AJ151" s="25"/>
      <c r="AK151" s="31"/>
      <c r="AL151" s="24"/>
      <c r="AM151" s="24"/>
      <c r="AN151" s="24"/>
      <c r="AO151" s="24"/>
      <c r="AP151" s="27"/>
      <c r="AQ151" s="28"/>
      <c r="AR151" s="29"/>
      <c r="AS151" s="30"/>
      <c r="AV151" s="316"/>
      <c r="AW151" s="316"/>
      <c r="AX151" s="316"/>
      <c r="AY151" s="316"/>
      <c r="AZ151" s="315"/>
      <c r="BC151" s="261"/>
      <c r="BD151" s="261"/>
      <c r="BE151" s="261"/>
      <c r="BF151" s="261"/>
      <c r="BJ151" s="285">
        <f t="shared" si="10"/>
        <v>0</v>
      </c>
      <c r="BK151" s="285">
        <f t="shared" si="11"/>
        <v>0</v>
      </c>
      <c r="BM151" s="261">
        <f t="shared" si="12"/>
        <v>0</v>
      </c>
      <c r="BN151" s="261">
        <f t="shared" si="13"/>
        <v>0</v>
      </c>
    </row>
    <row r="152" spans="3:66" ht="22.9" hidden="1" customHeight="1" x14ac:dyDescent="0.25">
      <c r="C152" s="171"/>
      <c r="D152" s="131"/>
      <c r="E152" s="152"/>
      <c r="F152" s="171"/>
      <c r="G152" s="171"/>
      <c r="H152" s="22"/>
      <c r="I152" s="172"/>
      <c r="J152" s="172"/>
      <c r="K152" s="171"/>
      <c r="L152" s="172"/>
      <c r="M152" s="172"/>
      <c r="N152" s="172"/>
      <c r="O152" s="172"/>
      <c r="P152" s="23"/>
      <c r="Q152" s="23"/>
      <c r="R152" s="172"/>
      <c r="S152" s="172"/>
      <c r="T152" s="172"/>
      <c r="U152" s="172"/>
      <c r="V152" s="20"/>
      <c r="W152" s="24"/>
      <c r="X152" s="24"/>
      <c r="Y152" s="24"/>
      <c r="Z152" s="24"/>
      <c r="AA152" s="24"/>
      <c r="AB152" s="24"/>
      <c r="AC152" s="24"/>
      <c r="AD152" s="24"/>
      <c r="AE152" s="24"/>
      <c r="AF152" s="24"/>
      <c r="AG152" s="24"/>
      <c r="AH152" s="25"/>
      <c r="AI152" s="26"/>
      <c r="AJ152" s="25"/>
      <c r="AK152" s="31"/>
      <c r="AL152" s="24"/>
      <c r="AM152" s="24"/>
      <c r="AN152" s="24"/>
      <c r="AO152" s="24"/>
      <c r="AP152" s="27"/>
      <c r="AQ152" s="28"/>
      <c r="AR152" s="29"/>
      <c r="AS152" s="30"/>
      <c r="AV152" s="316"/>
      <c r="AW152" s="316"/>
      <c r="AX152" s="316"/>
      <c r="AY152" s="316"/>
      <c r="AZ152" s="315"/>
      <c r="BC152" s="261"/>
      <c r="BD152" s="261"/>
      <c r="BE152" s="261"/>
      <c r="BF152" s="261"/>
      <c r="BJ152" s="285">
        <f t="shared" si="10"/>
        <v>0</v>
      </c>
      <c r="BK152" s="285">
        <f t="shared" si="11"/>
        <v>0</v>
      </c>
      <c r="BM152" s="261">
        <f t="shared" si="12"/>
        <v>0</v>
      </c>
      <c r="BN152" s="261">
        <f t="shared" si="13"/>
        <v>0</v>
      </c>
    </row>
    <row r="153" spans="3:66" ht="22.9" hidden="1" customHeight="1" x14ac:dyDescent="0.25">
      <c r="C153" s="171"/>
      <c r="D153" s="171"/>
      <c r="E153" s="152"/>
      <c r="F153" s="171"/>
      <c r="G153" s="171"/>
      <c r="H153" s="22"/>
      <c r="I153" s="172"/>
      <c r="J153" s="172"/>
      <c r="K153" s="171"/>
      <c r="L153" s="172"/>
      <c r="M153" s="172"/>
      <c r="N153" s="172"/>
      <c r="O153" s="172"/>
      <c r="P153" s="23"/>
      <c r="Q153" s="23"/>
      <c r="R153" s="172"/>
      <c r="S153" s="172"/>
      <c r="T153" s="172"/>
      <c r="U153" s="172"/>
      <c r="V153" s="20"/>
      <c r="W153" s="24"/>
      <c r="X153" s="24"/>
      <c r="Y153" s="25"/>
      <c r="Z153" s="25"/>
      <c r="AA153" s="25"/>
      <c r="AB153" s="25"/>
      <c r="AC153" s="25"/>
      <c r="AD153" s="24"/>
      <c r="AE153" s="24"/>
      <c r="AF153" s="24"/>
      <c r="AG153" s="24"/>
      <c r="AH153" s="25"/>
      <c r="AI153" s="26"/>
      <c r="AJ153" s="25"/>
      <c r="AK153" s="31"/>
      <c r="AL153" s="24"/>
      <c r="AM153" s="24"/>
      <c r="AN153" s="24"/>
      <c r="AO153" s="24"/>
      <c r="AP153" s="27"/>
      <c r="AQ153" s="28"/>
      <c r="AR153" s="29"/>
      <c r="AS153" s="30"/>
      <c r="AV153" s="316"/>
      <c r="AW153" s="316"/>
      <c r="AX153" s="316"/>
      <c r="AY153" s="316"/>
      <c r="AZ153" s="315"/>
      <c r="BC153" s="261"/>
      <c r="BD153" s="261"/>
      <c r="BE153" s="261"/>
      <c r="BF153" s="261"/>
      <c r="BJ153" s="285">
        <f t="shared" si="10"/>
        <v>0</v>
      </c>
      <c r="BK153" s="285">
        <f t="shared" si="11"/>
        <v>0</v>
      </c>
      <c r="BM153" s="261">
        <f t="shared" si="12"/>
        <v>0</v>
      </c>
      <c r="BN153" s="261">
        <f t="shared" si="13"/>
        <v>0</v>
      </c>
    </row>
    <row r="154" spans="3:66" ht="22.9" hidden="1" customHeight="1" x14ac:dyDescent="0.25">
      <c r="C154" s="171"/>
      <c r="D154" s="171"/>
      <c r="E154" s="152"/>
      <c r="F154" s="171"/>
      <c r="G154" s="171"/>
      <c r="H154" s="22"/>
      <c r="I154" s="172"/>
      <c r="J154" s="172"/>
      <c r="K154" s="171"/>
      <c r="L154" s="172"/>
      <c r="M154" s="172"/>
      <c r="N154" s="172"/>
      <c r="O154" s="172"/>
      <c r="P154" s="23"/>
      <c r="Q154" s="23"/>
      <c r="R154" s="172"/>
      <c r="S154" s="172"/>
      <c r="T154" s="172"/>
      <c r="U154" s="172"/>
      <c r="V154" s="20"/>
      <c r="W154" s="24"/>
      <c r="X154" s="24"/>
      <c r="Y154" s="25"/>
      <c r="Z154" s="25"/>
      <c r="AA154" s="25"/>
      <c r="AB154" s="25"/>
      <c r="AC154" s="25"/>
      <c r="AD154" s="24"/>
      <c r="AE154" s="24"/>
      <c r="AF154" s="24"/>
      <c r="AG154" s="24"/>
      <c r="AH154" s="25"/>
      <c r="AI154" s="26"/>
      <c r="AJ154" s="25"/>
      <c r="AK154" s="31"/>
      <c r="AL154" s="24"/>
      <c r="AM154" s="24"/>
      <c r="AN154" s="24"/>
      <c r="AO154" s="24"/>
      <c r="AP154" s="27"/>
      <c r="AQ154" s="28"/>
      <c r="AR154" s="29"/>
      <c r="AS154" s="30"/>
      <c r="AV154" s="316"/>
      <c r="AW154" s="316"/>
      <c r="AX154" s="316"/>
      <c r="AY154" s="316"/>
      <c r="AZ154" s="315"/>
      <c r="BC154" s="261"/>
      <c r="BD154" s="261"/>
      <c r="BE154" s="261"/>
      <c r="BF154" s="261"/>
      <c r="BJ154" s="285">
        <f t="shared" si="10"/>
        <v>0</v>
      </c>
      <c r="BK154" s="285">
        <f t="shared" si="11"/>
        <v>0</v>
      </c>
      <c r="BM154" s="261">
        <f t="shared" si="12"/>
        <v>0</v>
      </c>
      <c r="BN154" s="261">
        <f t="shared" si="13"/>
        <v>0</v>
      </c>
    </row>
    <row r="155" spans="3:66" ht="22.9" hidden="1" customHeight="1" x14ac:dyDescent="0.25">
      <c r="C155" s="171"/>
      <c r="D155" s="171"/>
      <c r="E155" s="152"/>
      <c r="F155" s="171"/>
      <c r="G155" s="171"/>
      <c r="H155" s="22"/>
      <c r="I155" s="172"/>
      <c r="J155" s="172"/>
      <c r="K155" s="171"/>
      <c r="L155" s="172"/>
      <c r="M155" s="172"/>
      <c r="N155" s="172"/>
      <c r="O155" s="172"/>
      <c r="P155" s="23"/>
      <c r="Q155" s="23"/>
      <c r="R155" s="172"/>
      <c r="S155" s="172"/>
      <c r="T155" s="172"/>
      <c r="U155" s="172"/>
      <c r="V155" s="20"/>
      <c r="W155" s="24"/>
      <c r="X155" s="24"/>
      <c r="Y155" s="25"/>
      <c r="Z155" s="25"/>
      <c r="AA155" s="25"/>
      <c r="AB155" s="25"/>
      <c r="AC155" s="25"/>
      <c r="AD155" s="24"/>
      <c r="AE155" s="24"/>
      <c r="AF155" s="24"/>
      <c r="AG155" s="24"/>
      <c r="AH155" s="25"/>
      <c r="AI155" s="26"/>
      <c r="AJ155" s="25"/>
      <c r="AK155" s="31"/>
      <c r="AL155" s="24"/>
      <c r="AM155" s="24"/>
      <c r="AN155" s="24"/>
      <c r="AO155" s="24"/>
      <c r="AP155" s="27"/>
      <c r="AQ155" s="28"/>
      <c r="AR155" s="29"/>
      <c r="AS155" s="30"/>
      <c r="AV155" s="316"/>
      <c r="AW155" s="316"/>
      <c r="AX155" s="316"/>
      <c r="AY155" s="316"/>
      <c r="AZ155" s="315"/>
      <c r="BC155" s="261"/>
      <c r="BD155" s="261"/>
      <c r="BE155" s="261"/>
      <c r="BF155" s="261"/>
      <c r="BJ155" s="285">
        <f t="shared" si="10"/>
        <v>0</v>
      </c>
      <c r="BK155" s="285">
        <f t="shared" si="11"/>
        <v>0</v>
      </c>
      <c r="BM155" s="261">
        <f t="shared" si="12"/>
        <v>0</v>
      </c>
      <c r="BN155" s="261">
        <f t="shared" si="13"/>
        <v>0</v>
      </c>
    </row>
    <row r="156" spans="3:66" ht="22.9" hidden="1" customHeight="1" x14ac:dyDescent="0.25">
      <c r="C156" s="171"/>
      <c r="D156" s="171"/>
      <c r="E156" s="152"/>
      <c r="F156" s="171"/>
      <c r="G156" s="171"/>
      <c r="H156" s="22"/>
      <c r="I156" s="172"/>
      <c r="J156" s="172"/>
      <c r="K156" s="171"/>
      <c r="L156" s="172"/>
      <c r="M156" s="172"/>
      <c r="N156" s="172"/>
      <c r="O156" s="172"/>
      <c r="P156" s="23"/>
      <c r="Q156" s="23"/>
      <c r="R156" s="172"/>
      <c r="S156" s="172"/>
      <c r="T156" s="172"/>
      <c r="U156" s="172"/>
      <c r="V156" s="20"/>
      <c r="W156" s="24"/>
      <c r="X156" s="24"/>
      <c r="Y156" s="25"/>
      <c r="Z156" s="25"/>
      <c r="AA156" s="25"/>
      <c r="AB156" s="25"/>
      <c r="AC156" s="25"/>
      <c r="AD156" s="24"/>
      <c r="AE156" s="24"/>
      <c r="AF156" s="24"/>
      <c r="AG156" s="24"/>
      <c r="AH156" s="25"/>
      <c r="AI156" s="26"/>
      <c r="AJ156" s="25"/>
      <c r="AK156" s="31"/>
      <c r="AL156" s="24"/>
      <c r="AM156" s="24"/>
      <c r="AN156" s="24"/>
      <c r="AO156" s="24"/>
      <c r="AP156" s="27"/>
      <c r="AQ156" s="28"/>
      <c r="AR156" s="29"/>
      <c r="AS156" s="30"/>
      <c r="AV156" s="316"/>
      <c r="AW156" s="316"/>
      <c r="AX156" s="316"/>
      <c r="AY156" s="316"/>
      <c r="AZ156" s="315"/>
      <c r="BC156" s="261"/>
      <c r="BD156" s="261"/>
      <c r="BE156" s="261"/>
      <c r="BF156" s="261"/>
      <c r="BJ156" s="285">
        <f t="shared" si="10"/>
        <v>0</v>
      </c>
      <c r="BK156" s="285">
        <f t="shared" si="11"/>
        <v>0</v>
      </c>
      <c r="BM156" s="261">
        <f t="shared" si="12"/>
        <v>0</v>
      </c>
      <c r="BN156" s="261">
        <f t="shared" si="13"/>
        <v>0</v>
      </c>
    </row>
    <row r="157" spans="3:66" ht="22.9" hidden="1" customHeight="1" x14ac:dyDescent="0.25">
      <c r="C157" s="171"/>
      <c r="D157" s="171"/>
      <c r="E157" s="152"/>
      <c r="F157" s="171"/>
      <c r="G157" s="171"/>
      <c r="H157" s="22"/>
      <c r="I157" s="172"/>
      <c r="J157" s="172"/>
      <c r="K157" s="171"/>
      <c r="L157" s="172"/>
      <c r="M157" s="172"/>
      <c r="N157" s="172"/>
      <c r="O157" s="172"/>
      <c r="P157" s="23"/>
      <c r="Q157" s="23"/>
      <c r="R157" s="172"/>
      <c r="S157" s="172"/>
      <c r="T157" s="172"/>
      <c r="U157" s="172"/>
      <c r="V157" s="20"/>
      <c r="W157" s="24"/>
      <c r="X157" s="24"/>
      <c r="Y157" s="25"/>
      <c r="Z157" s="25"/>
      <c r="AA157" s="25"/>
      <c r="AB157" s="25"/>
      <c r="AC157" s="25"/>
      <c r="AD157" s="24"/>
      <c r="AE157" s="24"/>
      <c r="AF157" s="24"/>
      <c r="AG157" s="24"/>
      <c r="AH157" s="25"/>
      <c r="AI157" s="26"/>
      <c r="AJ157" s="25"/>
      <c r="AK157" s="31"/>
      <c r="AL157" s="24"/>
      <c r="AM157" s="24"/>
      <c r="AN157" s="24"/>
      <c r="AO157" s="24"/>
      <c r="AP157" s="27"/>
      <c r="AQ157" s="28"/>
      <c r="AR157" s="29"/>
      <c r="AS157" s="30"/>
      <c r="AV157" s="316"/>
      <c r="AW157" s="316"/>
      <c r="AX157" s="316"/>
      <c r="AY157" s="316"/>
      <c r="AZ157" s="315"/>
      <c r="BC157" s="261"/>
      <c r="BD157" s="261"/>
      <c r="BE157" s="261"/>
      <c r="BF157" s="261"/>
      <c r="BJ157" s="285">
        <f t="shared" si="10"/>
        <v>0</v>
      </c>
      <c r="BK157" s="285">
        <f t="shared" si="11"/>
        <v>0</v>
      </c>
      <c r="BM157" s="261">
        <f t="shared" si="12"/>
        <v>0</v>
      </c>
      <c r="BN157" s="261">
        <f t="shared" si="13"/>
        <v>0</v>
      </c>
    </row>
    <row r="158" spans="3:66" ht="22.9" hidden="1" customHeight="1" x14ac:dyDescent="0.25">
      <c r="C158" s="171"/>
      <c r="D158" s="171"/>
      <c r="E158" s="152"/>
      <c r="F158" s="171"/>
      <c r="G158" s="171"/>
      <c r="H158" s="22"/>
      <c r="I158" s="172"/>
      <c r="J158" s="172"/>
      <c r="K158" s="171"/>
      <c r="L158" s="172"/>
      <c r="M158" s="172"/>
      <c r="N158" s="172"/>
      <c r="O158" s="172"/>
      <c r="P158" s="23"/>
      <c r="Q158" s="23"/>
      <c r="R158" s="172"/>
      <c r="S158" s="172"/>
      <c r="T158" s="172"/>
      <c r="U158" s="172"/>
      <c r="V158" s="20"/>
      <c r="W158" s="24"/>
      <c r="X158" s="24"/>
      <c r="Y158" s="24"/>
      <c r="Z158" s="24"/>
      <c r="AA158" s="24"/>
      <c r="AB158" s="24"/>
      <c r="AC158" s="24"/>
      <c r="AD158" s="24"/>
      <c r="AE158" s="24"/>
      <c r="AF158" s="24"/>
      <c r="AG158" s="24"/>
      <c r="AH158" s="25"/>
      <c r="AI158" s="26"/>
      <c r="AJ158" s="25"/>
      <c r="AK158" s="31"/>
      <c r="AL158" s="24"/>
      <c r="AM158" s="24"/>
      <c r="AN158" s="24"/>
      <c r="AO158" s="24"/>
      <c r="AP158" s="27"/>
      <c r="AQ158" s="28"/>
      <c r="AR158" s="29"/>
      <c r="AS158" s="30"/>
      <c r="AV158" s="316"/>
      <c r="AW158" s="316"/>
      <c r="AX158" s="316"/>
      <c r="AY158" s="316"/>
      <c r="AZ158" s="315"/>
      <c r="BC158" s="261"/>
      <c r="BD158" s="261"/>
      <c r="BE158" s="261"/>
      <c r="BF158" s="261"/>
      <c r="BJ158" s="285">
        <f t="shared" si="10"/>
        <v>0</v>
      </c>
      <c r="BK158" s="285">
        <f t="shared" si="11"/>
        <v>0</v>
      </c>
      <c r="BM158" s="261">
        <f t="shared" si="12"/>
        <v>0</v>
      </c>
      <c r="BN158" s="261">
        <f t="shared" si="13"/>
        <v>0</v>
      </c>
    </row>
    <row r="159" spans="3:66" ht="22.9" hidden="1" customHeight="1" x14ac:dyDescent="0.25">
      <c r="C159" s="171"/>
      <c r="D159" s="131"/>
      <c r="E159" s="152"/>
      <c r="F159" s="171"/>
      <c r="G159" s="171"/>
      <c r="H159" s="22"/>
      <c r="I159" s="172"/>
      <c r="J159" s="172"/>
      <c r="K159" s="171"/>
      <c r="L159" s="172"/>
      <c r="M159" s="172"/>
      <c r="N159" s="172"/>
      <c r="O159" s="172"/>
      <c r="P159" s="23"/>
      <c r="Q159" s="23"/>
      <c r="R159" s="172"/>
      <c r="S159" s="172"/>
      <c r="T159" s="172"/>
      <c r="U159" s="172"/>
      <c r="V159" s="20"/>
      <c r="W159" s="24"/>
      <c r="X159" s="24"/>
      <c r="Y159" s="24"/>
      <c r="Z159" s="24"/>
      <c r="AA159" s="24"/>
      <c r="AB159" s="24"/>
      <c r="AC159" s="24"/>
      <c r="AD159" s="24"/>
      <c r="AE159" s="24"/>
      <c r="AF159" s="24"/>
      <c r="AG159" s="24"/>
      <c r="AH159" s="25"/>
      <c r="AI159" s="26"/>
      <c r="AJ159" s="25"/>
      <c r="AK159" s="31"/>
      <c r="AL159" s="24"/>
      <c r="AM159" s="24"/>
      <c r="AN159" s="24"/>
      <c r="AO159" s="24"/>
      <c r="AP159" s="27"/>
      <c r="AQ159" s="28"/>
      <c r="AR159" s="29"/>
      <c r="AS159" s="30"/>
      <c r="AV159" s="316"/>
      <c r="AW159" s="316"/>
      <c r="AX159" s="316"/>
      <c r="AY159" s="316"/>
      <c r="AZ159" s="315"/>
      <c r="BC159" s="261"/>
      <c r="BD159" s="261"/>
      <c r="BE159" s="261"/>
      <c r="BF159" s="261"/>
      <c r="BJ159" s="285">
        <f t="shared" si="10"/>
        <v>0</v>
      </c>
      <c r="BK159" s="285">
        <f t="shared" si="11"/>
        <v>0</v>
      </c>
      <c r="BM159" s="261">
        <f t="shared" si="12"/>
        <v>0</v>
      </c>
      <c r="BN159" s="261">
        <f t="shared" si="13"/>
        <v>0</v>
      </c>
    </row>
    <row r="160" spans="3:66" ht="22.9" hidden="1" customHeight="1" x14ac:dyDescent="0.25">
      <c r="C160" s="171"/>
      <c r="D160" s="171"/>
      <c r="E160" s="152"/>
      <c r="F160" s="171"/>
      <c r="G160" s="171"/>
      <c r="H160" s="22"/>
      <c r="I160" s="172"/>
      <c r="J160" s="172"/>
      <c r="K160" s="171"/>
      <c r="L160" s="172"/>
      <c r="M160" s="172"/>
      <c r="N160" s="172"/>
      <c r="O160" s="172"/>
      <c r="P160" s="23"/>
      <c r="Q160" s="23"/>
      <c r="R160" s="172"/>
      <c r="S160" s="172"/>
      <c r="T160" s="172"/>
      <c r="U160" s="172"/>
      <c r="V160" s="20"/>
      <c r="W160" s="24"/>
      <c r="X160" s="24"/>
      <c r="Y160" s="25"/>
      <c r="Z160" s="25"/>
      <c r="AA160" s="25"/>
      <c r="AB160" s="25"/>
      <c r="AC160" s="25"/>
      <c r="AD160" s="24"/>
      <c r="AE160" s="24"/>
      <c r="AF160" s="24"/>
      <c r="AG160" s="24"/>
      <c r="AH160" s="25"/>
      <c r="AI160" s="26"/>
      <c r="AJ160" s="25"/>
      <c r="AK160" s="31"/>
      <c r="AL160" s="24"/>
      <c r="AM160" s="24"/>
      <c r="AN160" s="24"/>
      <c r="AO160" s="24"/>
      <c r="AP160" s="27"/>
      <c r="AQ160" s="28"/>
      <c r="AR160" s="29"/>
      <c r="AS160" s="30"/>
      <c r="AV160" s="316"/>
      <c r="AW160" s="316"/>
      <c r="AX160" s="316"/>
      <c r="AY160" s="316"/>
      <c r="AZ160" s="315"/>
      <c r="BC160" s="261"/>
      <c r="BD160" s="261"/>
      <c r="BE160" s="261"/>
      <c r="BF160" s="261"/>
      <c r="BJ160" s="285">
        <f t="shared" si="10"/>
        <v>0</v>
      </c>
      <c r="BK160" s="285">
        <f t="shared" si="11"/>
        <v>0</v>
      </c>
      <c r="BM160" s="261">
        <f t="shared" si="12"/>
        <v>0</v>
      </c>
      <c r="BN160" s="261">
        <f t="shared" si="13"/>
        <v>0</v>
      </c>
    </row>
    <row r="161" spans="3:66" ht="22.9" hidden="1" customHeight="1" x14ac:dyDescent="0.25">
      <c r="C161" s="171"/>
      <c r="D161" s="171"/>
      <c r="E161" s="152"/>
      <c r="F161" s="171"/>
      <c r="G161" s="171"/>
      <c r="H161" s="22"/>
      <c r="I161" s="172"/>
      <c r="J161" s="172"/>
      <c r="K161" s="171"/>
      <c r="L161" s="172"/>
      <c r="M161" s="172"/>
      <c r="N161" s="172"/>
      <c r="O161" s="172"/>
      <c r="P161" s="23"/>
      <c r="Q161" s="23"/>
      <c r="R161" s="172"/>
      <c r="S161" s="172"/>
      <c r="T161" s="172"/>
      <c r="U161" s="172"/>
      <c r="V161" s="20"/>
      <c r="W161" s="24"/>
      <c r="X161" s="24"/>
      <c r="Y161" s="25"/>
      <c r="Z161" s="25"/>
      <c r="AA161" s="25"/>
      <c r="AB161" s="25"/>
      <c r="AC161" s="25"/>
      <c r="AD161" s="24"/>
      <c r="AE161" s="24"/>
      <c r="AF161" s="24"/>
      <c r="AG161" s="24"/>
      <c r="AH161" s="25"/>
      <c r="AI161" s="26"/>
      <c r="AJ161" s="25"/>
      <c r="AK161" s="31"/>
      <c r="AL161" s="24"/>
      <c r="AM161" s="24"/>
      <c r="AN161" s="24"/>
      <c r="AO161" s="24"/>
      <c r="AP161" s="27"/>
      <c r="AQ161" s="28"/>
      <c r="AR161" s="29"/>
      <c r="AS161" s="30"/>
      <c r="AV161" s="316"/>
      <c r="AW161" s="316"/>
      <c r="AX161" s="316"/>
      <c r="AY161" s="316"/>
      <c r="AZ161" s="315"/>
      <c r="BC161" s="261"/>
      <c r="BD161" s="261"/>
      <c r="BE161" s="261"/>
      <c r="BF161" s="261"/>
      <c r="BJ161" s="285">
        <f t="shared" si="10"/>
        <v>0</v>
      </c>
      <c r="BK161" s="285">
        <f t="shared" si="11"/>
        <v>0</v>
      </c>
      <c r="BM161" s="261">
        <f t="shared" si="12"/>
        <v>0</v>
      </c>
      <c r="BN161" s="261">
        <f t="shared" si="13"/>
        <v>0</v>
      </c>
    </row>
    <row r="162" spans="3:66" ht="22.9" hidden="1" customHeight="1" x14ac:dyDescent="0.25">
      <c r="C162" s="171"/>
      <c r="D162" s="171"/>
      <c r="E162" s="152"/>
      <c r="F162" s="171"/>
      <c r="G162" s="171"/>
      <c r="H162" s="22"/>
      <c r="I162" s="172"/>
      <c r="J162" s="172"/>
      <c r="K162" s="171"/>
      <c r="L162" s="172"/>
      <c r="M162" s="172"/>
      <c r="N162" s="172"/>
      <c r="O162" s="172"/>
      <c r="P162" s="23"/>
      <c r="Q162" s="23"/>
      <c r="R162" s="172"/>
      <c r="S162" s="172"/>
      <c r="T162" s="172"/>
      <c r="U162" s="172"/>
      <c r="V162" s="20"/>
      <c r="W162" s="24"/>
      <c r="X162" s="24"/>
      <c r="Y162" s="25"/>
      <c r="Z162" s="25"/>
      <c r="AA162" s="25"/>
      <c r="AB162" s="25"/>
      <c r="AC162" s="25"/>
      <c r="AD162" s="24"/>
      <c r="AE162" s="24"/>
      <c r="AF162" s="24"/>
      <c r="AG162" s="24"/>
      <c r="AH162" s="25"/>
      <c r="AI162" s="26"/>
      <c r="AJ162" s="25"/>
      <c r="AK162" s="31"/>
      <c r="AL162" s="24"/>
      <c r="AM162" s="24"/>
      <c r="AN162" s="24"/>
      <c r="AO162" s="24"/>
      <c r="AP162" s="27"/>
      <c r="AQ162" s="28"/>
      <c r="AR162" s="29"/>
      <c r="AS162" s="30"/>
      <c r="AV162" s="316"/>
      <c r="AW162" s="316"/>
      <c r="AX162" s="316"/>
      <c r="AY162" s="316"/>
      <c r="AZ162" s="315"/>
      <c r="BC162" s="261"/>
      <c r="BD162" s="261"/>
      <c r="BE162" s="261"/>
      <c r="BF162" s="261"/>
      <c r="BJ162" s="285">
        <f t="shared" si="10"/>
        <v>0</v>
      </c>
      <c r="BK162" s="285">
        <f t="shared" si="11"/>
        <v>0</v>
      </c>
      <c r="BM162" s="261">
        <f t="shared" si="12"/>
        <v>0</v>
      </c>
      <c r="BN162" s="261">
        <f t="shared" si="13"/>
        <v>0</v>
      </c>
    </row>
    <row r="163" spans="3:66" ht="22.9" hidden="1" customHeight="1" x14ac:dyDescent="0.25">
      <c r="C163" s="171"/>
      <c r="D163" s="171"/>
      <c r="E163" s="152"/>
      <c r="F163" s="171"/>
      <c r="G163" s="171"/>
      <c r="H163" s="22"/>
      <c r="I163" s="172"/>
      <c r="J163" s="172"/>
      <c r="K163" s="171"/>
      <c r="L163" s="172"/>
      <c r="M163" s="172"/>
      <c r="N163" s="172"/>
      <c r="O163" s="172"/>
      <c r="P163" s="23"/>
      <c r="Q163" s="23"/>
      <c r="R163" s="172"/>
      <c r="S163" s="172"/>
      <c r="T163" s="172"/>
      <c r="U163" s="172"/>
      <c r="V163" s="20"/>
      <c r="W163" s="24"/>
      <c r="X163" s="24"/>
      <c r="Y163" s="25"/>
      <c r="Z163" s="25"/>
      <c r="AA163" s="25"/>
      <c r="AB163" s="25"/>
      <c r="AC163" s="25"/>
      <c r="AD163" s="24"/>
      <c r="AE163" s="24"/>
      <c r="AF163" s="24"/>
      <c r="AG163" s="24"/>
      <c r="AH163" s="25"/>
      <c r="AI163" s="26"/>
      <c r="AJ163" s="25"/>
      <c r="AK163" s="31"/>
      <c r="AL163" s="24"/>
      <c r="AM163" s="24"/>
      <c r="AN163" s="24"/>
      <c r="AO163" s="24"/>
      <c r="AP163" s="27"/>
      <c r="AQ163" s="28"/>
      <c r="AR163" s="29"/>
      <c r="AS163" s="30"/>
      <c r="AV163" s="316"/>
      <c r="AW163" s="316"/>
      <c r="AX163" s="316"/>
      <c r="AY163" s="316"/>
      <c r="AZ163" s="315"/>
      <c r="BC163" s="261"/>
      <c r="BD163" s="261"/>
      <c r="BE163" s="261"/>
      <c r="BF163" s="261"/>
      <c r="BJ163" s="285">
        <f t="shared" si="10"/>
        <v>0</v>
      </c>
      <c r="BK163" s="285">
        <f t="shared" si="11"/>
        <v>0</v>
      </c>
      <c r="BM163" s="261">
        <f t="shared" si="12"/>
        <v>0</v>
      </c>
      <c r="BN163" s="261">
        <f t="shared" si="13"/>
        <v>0</v>
      </c>
    </row>
    <row r="164" spans="3:66" ht="22.9" hidden="1" customHeight="1" x14ac:dyDescent="0.25">
      <c r="C164" s="171"/>
      <c r="D164" s="171"/>
      <c r="E164" s="152"/>
      <c r="F164" s="171"/>
      <c r="G164" s="171"/>
      <c r="H164" s="22"/>
      <c r="I164" s="172"/>
      <c r="J164" s="172"/>
      <c r="K164" s="171"/>
      <c r="L164" s="172"/>
      <c r="M164" s="172"/>
      <c r="N164" s="172"/>
      <c r="O164" s="172"/>
      <c r="P164" s="23"/>
      <c r="Q164" s="23"/>
      <c r="R164" s="172"/>
      <c r="S164" s="172"/>
      <c r="T164" s="172"/>
      <c r="U164" s="172"/>
      <c r="V164" s="20"/>
      <c r="W164" s="24"/>
      <c r="X164" s="24"/>
      <c r="Y164" s="25"/>
      <c r="Z164" s="25"/>
      <c r="AA164" s="25"/>
      <c r="AB164" s="25"/>
      <c r="AC164" s="25"/>
      <c r="AD164" s="24"/>
      <c r="AE164" s="24"/>
      <c r="AF164" s="24"/>
      <c r="AG164" s="24"/>
      <c r="AH164" s="25"/>
      <c r="AI164" s="26"/>
      <c r="AJ164" s="25"/>
      <c r="AK164" s="31"/>
      <c r="AL164" s="24"/>
      <c r="AM164" s="24"/>
      <c r="AN164" s="24"/>
      <c r="AO164" s="24"/>
      <c r="AP164" s="27"/>
      <c r="AQ164" s="28"/>
      <c r="AR164" s="29"/>
      <c r="AS164" s="30"/>
      <c r="AV164" s="316"/>
      <c r="AW164" s="316"/>
      <c r="AX164" s="316"/>
      <c r="AY164" s="316"/>
      <c r="AZ164" s="315"/>
      <c r="BC164" s="261"/>
      <c r="BD164" s="261"/>
      <c r="BE164" s="261"/>
      <c r="BF164" s="261"/>
      <c r="BJ164" s="285">
        <f t="shared" si="10"/>
        <v>0</v>
      </c>
      <c r="BK164" s="285">
        <f t="shared" si="11"/>
        <v>0</v>
      </c>
      <c r="BM164" s="261">
        <f t="shared" si="12"/>
        <v>0</v>
      </c>
      <c r="BN164" s="261">
        <f t="shared" si="13"/>
        <v>0</v>
      </c>
    </row>
    <row r="165" spans="3:66" ht="22.9" hidden="1" customHeight="1" x14ac:dyDescent="0.25">
      <c r="C165" s="171"/>
      <c r="D165" s="171"/>
      <c r="E165" s="152"/>
      <c r="F165" s="171"/>
      <c r="G165" s="171"/>
      <c r="H165" s="22"/>
      <c r="I165" s="172"/>
      <c r="J165" s="172"/>
      <c r="K165" s="171"/>
      <c r="L165" s="172"/>
      <c r="M165" s="172"/>
      <c r="N165" s="172"/>
      <c r="O165" s="172"/>
      <c r="P165" s="23"/>
      <c r="Q165" s="23"/>
      <c r="R165" s="172"/>
      <c r="S165" s="172"/>
      <c r="T165" s="172"/>
      <c r="U165" s="172"/>
      <c r="V165" s="20"/>
      <c r="W165" s="24"/>
      <c r="X165" s="24"/>
      <c r="Y165" s="25"/>
      <c r="Z165" s="25"/>
      <c r="AA165" s="25"/>
      <c r="AB165" s="25"/>
      <c r="AC165" s="25"/>
      <c r="AD165" s="24"/>
      <c r="AE165" s="24"/>
      <c r="AF165" s="24"/>
      <c r="AG165" s="24"/>
      <c r="AH165" s="25"/>
      <c r="AI165" s="26"/>
      <c r="AJ165" s="25"/>
      <c r="AK165" s="31"/>
      <c r="AL165" s="24"/>
      <c r="AM165" s="24"/>
      <c r="AN165" s="24"/>
      <c r="AO165" s="24"/>
      <c r="AP165" s="27"/>
      <c r="AQ165" s="28"/>
      <c r="AR165" s="29"/>
      <c r="AS165" s="30"/>
      <c r="AV165" s="316"/>
      <c r="AW165" s="316"/>
      <c r="AX165" s="316"/>
      <c r="AY165" s="316"/>
      <c r="AZ165" s="315"/>
      <c r="BC165" s="261"/>
      <c r="BD165" s="261"/>
      <c r="BE165" s="261"/>
      <c r="BF165" s="261"/>
      <c r="BJ165" s="285">
        <f t="shared" si="10"/>
        <v>0</v>
      </c>
      <c r="BK165" s="285">
        <f t="shared" si="11"/>
        <v>0</v>
      </c>
      <c r="BM165" s="261">
        <f t="shared" si="12"/>
        <v>0</v>
      </c>
      <c r="BN165" s="261">
        <f t="shared" si="13"/>
        <v>0</v>
      </c>
    </row>
    <row r="166" spans="3:66" ht="22.9" hidden="1" customHeight="1" x14ac:dyDescent="0.25">
      <c r="C166" s="171"/>
      <c r="D166" s="171"/>
      <c r="E166" s="152"/>
      <c r="F166" s="171"/>
      <c r="G166" s="171"/>
      <c r="H166" s="22"/>
      <c r="I166" s="172"/>
      <c r="J166" s="172"/>
      <c r="K166" s="171"/>
      <c r="L166" s="172"/>
      <c r="M166" s="172"/>
      <c r="N166" s="172"/>
      <c r="O166" s="172"/>
      <c r="P166" s="23"/>
      <c r="Q166" s="23"/>
      <c r="R166" s="172"/>
      <c r="S166" s="172"/>
      <c r="T166" s="172"/>
      <c r="U166" s="172"/>
      <c r="V166" s="20"/>
      <c r="W166" s="24"/>
      <c r="X166" s="24"/>
      <c r="Y166" s="25"/>
      <c r="Z166" s="25"/>
      <c r="AA166" s="25"/>
      <c r="AB166" s="25"/>
      <c r="AC166" s="25"/>
      <c r="AD166" s="24"/>
      <c r="AE166" s="24"/>
      <c r="AF166" s="24"/>
      <c r="AG166" s="24"/>
      <c r="AH166" s="25"/>
      <c r="AI166" s="26"/>
      <c r="AJ166" s="25"/>
      <c r="AK166" s="31"/>
      <c r="AL166" s="24"/>
      <c r="AM166" s="24"/>
      <c r="AN166" s="24"/>
      <c r="AO166" s="24"/>
      <c r="AP166" s="27"/>
      <c r="AQ166" s="28"/>
      <c r="AR166" s="29"/>
      <c r="AS166" s="30"/>
      <c r="AV166" s="316"/>
      <c r="AW166" s="316"/>
      <c r="AX166" s="316"/>
      <c r="AY166" s="316"/>
      <c r="AZ166" s="315"/>
      <c r="BC166" s="261"/>
      <c r="BD166" s="261"/>
      <c r="BE166" s="261"/>
      <c r="BF166" s="261"/>
      <c r="BJ166" s="285">
        <f t="shared" si="10"/>
        <v>0</v>
      </c>
      <c r="BK166" s="285">
        <f t="shared" si="11"/>
        <v>0</v>
      </c>
      <c r="BM166" s="261">
        <f t="shared" si="12"/>
        <v>0</v>
      </c>
      <c r="BN166" s="261">
        <f t="shared" si="13"/>
        <v>0</v>
      </c>
    </row>
    <row r="167" spans="3:66" ht="22.9" hidden="1" customHeight="1" x14ac:dyDescent="0.25">
      <c r="C167" s="171"/>
      <c r="D167" s="171"/>
      <c r="E167" s="152"/>
      <c r="F167" s="171"/>
      <c r="G167" s="171"/>
      <c r="H167" s="22"/>
      <c r="I167" s="172"/>
      <c r="J167" s="172"/>
      <c r="K167" s="171"/>
      <c r="L167" s="172"/>
      <c r="M167" s="172"/>
      <c r="N167" s="172"/>
      <c r="O167" s="172"/>
      <c r="P167" s="23"/>
      <c r="Q167" s="23"/>
      <c r="R167" s="172"/>
      <c r="S167" s="172"/>
      <c r="T167" s="172"/>
      <c r="U167" s="172"/>
      <c r="V167" s="20"/>
      <c r="W167" s="24"/>
      <c r="X167" s="24"/>
      <c r="Y167" s="25"/>
      <c r="Z167" s="25"/>
      <c r="AA167" s="25"/>
      <c r="AB167" s="25"/>
      <c r="AC167" s="25"/>
      <c r="AD167" s="24"/>
      <c r="AE167" s="24"/>
      <c r="AF167" s="24"/>
      <c r="AG167" s="24"/>
      <c r="AH167" s="25"/>
      <c r="AI167" s="26"/>
      <c r="AJ167" s="25"/>
      <c r="AK167" s="31"/>
      <c r="AL167" s="24"/>
      <c r="AM167" s="24"/>
      <c r="AN167" s="24"/>
      <c r="AO167" s="24"/>
      <c r="AP167" s="27"/>
      <c r="AQ167" s="28"/>
      <c r="AR167" s="29"/>
      <c r="AS167" s="30"/>
      <c r="AV167" s="316"/>
      <c r="AW167" s="316"/>
      <c r="AX167" s="316"/>
      <c r="AY167" s="316"/>
      <c r="AZ167" s="315"/>
      <c r="BC167" s="261"/>
      <c r="BD167" s="261"/>
      <c r="BE167" s="261"/>
      <c r="BF167" s="261"/>
      <c r="BJ167" s="285">
        <f t="shared" si="10"/>
        <v>0</v>
      </c>
      <c r="BK167" s="285">
        <f t="shared" si="11"/>
        <v>0</v>
      </c>
      <c r="BM167" s="261">
        <f t="shared" si="12"/>
        <v>0</v>
      </c>
      <c r="BN167" s="261">
        <f t="shared" si="13"/>
        <v>0</v>
      </c>
    </row>
    <row r="168" spans="3:66" ht="22.9" hidden="1" customHeight="1" x14ac:dyDescent="0.25">
      <c r="C168" s="171"/>
      <c r="D168" s="171"/>
      <c r="E168" s="152"/>
      <c r="F168" s="171"/>
      <c r="G168" s="171"/>
      <c r="H168" s="22"/>
      <c r="I168" s="172"/>
      <c r="J168" s="172"/>
      <c r="K168" s="171"/>
      <c r="L168" s="172"/>
      <c r="M168" s="172"/>
      <c r="N168" s="172"/>
      <c r="O168" s="172"/>
      <c r="P168" s="23"/>
      <c r="Q168" s="23"/>
      <c r="R168" s="172"/>
      <c r="S168" s="172"/>
      <c r="T168" s="172"/>
      <c r="U168" s="172"/>
      <c r="V168" s="20"/>
      <c r="W168" s="24"/>
      <c r="X168" s="24"/>
      <c r="Y168" s="25"/>
      <c r="Z168" s="25"/>
      <c r="AA168" s="25"/>
      <c r="AB168" s="25"/>
      <c r="AC168" s="25"/>
      <c r="AD168" s="24"/>
      <c r="AE168" s="24"/>
      <c r="AF168" s="24"/>
      <c r="AG168" s="24"/>
      <c r="AH168" s="25"/>
      <c r="AI168" s="26"/>
      <c r="AJ168" s="25"/>
      <c r="AK168" s="31"/>
      <c r="AL168" s="24"/>
      <c r="AM168" s="24"/>
      <c r="AN168" s="24"/>
      <c r="AO168" s="24"/>
      <c r="AP168" s="27"/>
      <c r="AQ168" s="28"/>
      <c r="AR168" s="29"/>
      <c r="AS168" s="30"/>
      <c r="AV168" s="316"/>
      <c r="AW168" s="316"/>
      <c r="AX168" s="316"/>
      <c r="AY168" s="316"/>
      <c r="AZ168" s="315"/>
      <c r="BC168" s="261"/>
      <c r="BD168" s="261"/>
      <c r="BE168" s="261"/>
      <c r="BF168" s="261"/>
      <c r="BJ168" s="285">
        <f t="shared" si="10"/>
        <v>0</v>
      </c>
      <c r="BK168" s="285">
        <f t="shared" si="11"/>
        <v>0</v>
      </c>
      <c r="BM168" s="261">
        <f t="shared" si="12"/>
        <v>0</v>
      </c>
      <c r="BN168" s="261">
        <f t="shared" si="13"/>
        <v>0</v>
      </c>
    </row>
    <row r="169" spans="3:66" ht="22.9" hidden="1" customHeight="1" x14ac:dyDescent="0.25">
      <c r="C169" s="171"/>
      <c r="D169" s="171"/>
      <c r="E169" s="152"/>
      <c r="F169" s="171"/>
      <c r="G169" s="171"/>
      <c r="H169" s="22"/>
      <c r="I169" s="172"/>
      <c r="J169" s="172"/>
      <c r="K169" s="171"/>
      <c r="L169" s="172"/>
      <c r="M169" s="172"/>
      <c r="N169" s="172"/>
      <c r="O169" s="172"/>
      <c r="P169" s="23"/>
      <c r="Q169" s="23"/>
      <c r="R169" s="172"/>
      <c r="S169" s="172"/>
      <c r="T169" s="172"/>
      <c r="U169" s="172"/>
      <c r="V169" s="20"/>
      <c r="W169" s="24"/>
      <c r="X169" s="24"/>
      <c r="Y169" s="25"/>
      <c r="Z169" s="25"/>
      <c r="AA169" s="25"/>
      <c r="AB169" s="25"/>
      <c r="AC169" s="25"/>
      <c r="AD169" s="24"/>
      <c r="AE169" s="24"/>
      <c r="AF169" s="24"/>
      <c r="AG169" s="24"/>
      <c r="AH169" s="25"/>
      <c r="AI169" s="26"/>
      <c r="AJ169" s="25"/>
      <c r="AK169" s="31"/>
      <c r="AL169" s="24"/>
      <c r="AM169" s="24"/>
      <c r="AN169" s="24"/>
      <c r="AO169" s="24"/>
      <c r="AP169" s="27"/>
      <c r="AQ169" s="28"/>
      <c r="AR169" s="29"/>
      <c r="AS169" s="30"/>
      <c r="AV169" s="316"/>
      <c r="AW169" s="316"/>
      <c r="AX169" s="316"/>
      <c r="AY169" s="316"/>
      <c r="AZ169" s="315"/>
      <c r="BC169" s="261"/>
      <c r="BD169" s="261"/>
      <c r="BE169" s="261"/>
      <c r="BF169" s="261"/>
      <c r="BJ169" s="285">
        <f t="shared" si="10"/>
        <v>0</v>
      </c>
      <c r="BK169" s="285">
        <f t="shared" si="11"/>
        <v>0</v>
      </c>
      <c r="BM169" s="261">
        <f t="shared" si="12"/>
        <v>0</v>
      </c>
      <c r="BN169" s="261">
        <f t="shared" si="13"/>
        <v>0</v>
      </c>
    </row>
    <row r="170" spans="3:66" ht="22.9" hidden="1" customHeight="1" x14ac:dyDescent="0.25">
      <c r="C170" s="171"/>
      <c r="D170" s="171"/>
      <c r="E170" s="152"/>
      <c r="F170" s="171"/>
      <c r="G170" s="171"/>
      <c r="H170" s="22"/>
      <c r="I170" s="172"/>
      <c r="J170" s="172"/>
      <c r="K170" s="171"/>
      <c r="L170" s="172"/>
      <c r="M170" s="172"/>
      <c r="N170" s="172"/>
      <c r="O170" s="172"/>
      <c r="P170" s="23"/>
      <c r="Q170" s="23"/>
      <c r="R170" s="172"/>
      <c r="S170" s="172"/>
      <c r="T170" s="172"/>
      <c r="U170" s="172"/>
      <c r="V170" s="20"/>
      <c r="W170" s="24"/>
      <c r="X170" s="24"/>
      <c r="Y170" s="25"/>
      <c r="Z170" s="25"/>
      <c r="AA170" s="25"/>
      <c r="AB170" s="25"/>
      <c r="AC170" s="25"/>
      <c r="AD170" s="24"/>
      <c r="AE170" s="24"/>
      <c r="AF170" s="24"/>
      <c r="AG170" s="24"/>
      <c r="AH170" s="25"/>
      <c r="AI170" s="26"/>
      <c r="AJ170" s="25"/>
      <c r="AK170" s="31"/>
      <c r="AL170" s="24"/>
      <c r="AM170" s="24"/>
      <c r="AN170" s="24"/>
      <c r="AO170" s="24"/>
      <c r="AP170" s="27"/>
      <c r="AQ170" s="28"/>
      <c r="AR170" s="29"/>
      <c r="AS170" s="30"/>
      <c r="AV170" s="316"/>
      <c r="AW170" s="316"/>
      <c r="AX170" s="316"/>
      <c r="AY170" s="316"/>
      <c r="AZ170" s="315"/>
      <c r="BC170" s="261"/>
      <c r="BD170" s="261"/>
      <c r="BE170" s="261"/>
      <c r="BF170" s="261"/>
      <c r="BJ170" s="285">
        <f t="shared" ref="BJ170:BJ171" si="14">+IF(((R170+S170)/2)&lt;3.5,AJ170,0)</f>
        <v>0</v>
      </c>
      <c r="BK170" s="285">
        <f t="shared" ref="BK170:BK171" si="15">+IF(((R170+S170)/2)&gt;3.5,AJ170,0)</f>
        <v>0</v>
      </c>
      <c r="BM170" s="261">
        <f t="shared" ref="BM170:BM171" si="16">+IF(((R170+S170)/2)&lt;4.5,AS170,0)</f>
        <v>0</v>
      </c>
      <c r="BN170" s="261">
        <f t="shared" ref="BN170:BN171" si="17">+IF(((R170+S170)/2)&gt;4.5,AS170,0)</f>
        <v>0</v>
      </c>
    </row>
    <row r="171" spans="3:66" ht="22.9" hidden="1" customHeight="1" x14ac:dyDescent="0.25">
      <c r="C171" s="171"/>
      <c r="D171" s="171"/>
      <c r="E171" s="152"/>
      <c r="F171" s="171"/>
      <c r="G171" s="171"/>
      <c r="H171" s="22"/>
      <c r="I171" s="172"/>
      <c r="J171" s="172"/>
      <c r="K171" s="171"/>
      <c r="L171" s="172"/>
      <c r="M171" s="172"/>
      <c r="N171" s="172"/>
      <c r="O171" s="172"/>
      <c r="P171" s="23"/>
      <c r="Q171" s="23"/>
      <c r="R171" s="172"/>
      <c r="S171" s="172"/>
      <c r="T171" s="172"/>
      <c r="U171" s="172"/>
      <c r="V171" s="20"/>
      <c r="W171" s="24"/>
      <c r="X171" s="24"/>
      <c r="Y171" s="25"/>
      <c r="Z171" s="25"/>
      <c r="AA171" s="25"/>
      <c r="AB171" s="25"/>
      <c r="AC171" s="25"/>
      <c r="AD171" s="24"/>
      <c r="AE171" s="24"/>
      <c r="AF171" s="24"/>
      <c r="AG171" s="24"/>
      <c r="AH171" s="25"/>
      <c r="AI171" s="26"/>
      <c r="AJ171" s="25"/>
      <c r="AK171" s="31"/>
      <c r="AL171" s="24"/>
      <c r="AM171" s="24"/>
      <c r="AN171" s="24"/>
      <c r="AO171" s="24"/>
      <c r="AP171" s="27"/>
      <c r="AQ171" s="28"/>
      <c r="AR171" s="29"/>
      <c r="AS171" s="30"/>
      <c r="AV171" s="316"/>
      <c r="AW171" s="316"/>
      <c r="AX171" s="316"/>
      <c r="AY171" s="316"/>
      <c r="AZ171" s="315"/>
      <c r="BC171" s="261"/>
      <c r="BD171" s="261"/>
      <c r="BE171" s="261"/>
      <c r="BF171" s="261"/>
      <c r="BJ171" s="285">
        <f t="shared" si="14"/>
        <v>0</v>
      </c>
      <c r="BK171" s="285">
        <f t="shared" si="15"/>
        <v>0</v>
      </c>
      <c r="BM171" s="261">
        <f t="shared" si="16"/>
        <v>0</v>
      </c>
      <c r="BN171" s="261">
        <f t="shared" si="17"/>
        <v>0</v>
      </c>
    </row>
    <row r="172" spans="3:66" x14ac:dyDescent="0.25">
      <c r="C172" s="171"/>
      <c r="D172" s="171"/>
      <c r="E172" s="152"/>
      <c r="F172" s="171"/>
      <c r="G172" s="171"/>
      <c r="H172" s="22"/>
      <c r="I172" s="172"/>
      <c r="J172" s="172"/>
      <c r="K172" s="171"/>
      <c r="L172" s="172"/>
      <c r="M172" s="172"/>
      <c r="N172" s="172"/>
      <c r="O172" s="172"/>
      <c r="P172" s="23"/>
      <c r="Q172" s="23"/>
      <c r="R172" s="172"/>
      <c r="S172" s="172"/>
      <c r="T172" s="172"/>
      <c r="U172" s="172"/>
      <c r="V172" s="20"/>
      <c r="W172" s="24"/>
      <c r="X172" s="24"/>
      <c r="Y172" s="24"/>
      <c r="Z172" s="24"/>
      <c r="AA172" s="24"/>
      <c r="AB172" s="24"/>
      <c r="AC172" s="24"/>
      <c r="AD172" s="24"/>
      <c r="AE172" s="24"/>
      <c r="AF172" s="24"/>
      <c r="AG172" s="24"/>
      <c r="AH172" s="25"/>
      <c r="AI172" s="26"/>
      <c r="AJ172" s="25"/>
      <c r="AK172" s="31"/>
      <c r="AL172" s="24"/>
      <c r="AM172" s="24"/>
      <c r="AN172" s="24"/>
      <c r="AO172" s="24"/>
      <c r="AP172" s="27"/>
      <c r="AQ172" s="28"/>
      <c r="AR172" s="29"/>
      <c r="AS172" s="30"/>
      <c r="AV172" s="316"/>
      <c r="AW172" s="316"/>
      <c r="AX172" s="316"/>
      <c r="AY172" s="316"/>
      <c r="AZ172" s="315"/>
      <c r="BC172" s="261"/>
      <c r="BD172" s="261"/>
      <c r="BE172" s="261"/>
      <c r="BF172" s="261"/>
      <c r="BJ172" s="285"/>
      <c r="BK172" s="285"/>
      <c r="BM172" s="261"/>
      <c r="BN172" s="261"/>
    </row>
    <row r="173" spans="3:66" s="236" customFormat="1" x14ac:dyDescent="0.25">
      <c r="C173" s="268"/>
      <c r="D173" s="269" t="s">
        <v>384</v>
      </c>
      <c r="E173" s="268"/>
      <c r="F173" s="268"/>
      <c r="G173" s="268"/>
      <c r="H173" s="270"/>
      <c r="I173" s="271"/>
      <c r="J173" s="271"/>
      <c r="K173" s="268"/>
      <c r="L173" s="271"/>
      <c r="M173" s="271"/>
      <c r="N173" s="271"/>
      <c r="O173" s="271"/>
      <c r="P173" s="272"/>
      <c r="Q173" s="272"/>
      <c r="R173" s="271"/>
      <c r="S173" s="271"/>
      <c r="T173" s="271"/>
      <c r="U173" s="271"/>
      <c r="V173" s="273"/>
      <c r="W173" s="274"/>
      <c r="X173" s="274"/>
      <c r="Y173" s="274"/>
      <c r="Z173" s="274"/>
      <c r="AA173" s="274"/>
      <c r="AB173" s="274"/>
      <c r="AC173" s="274"/>
      <c r="AD173" s="274"/>
      <c r="AE173" s="274"/>
      <c r="AF173" s="274"/>
      <c r="AG173" s="274"/>
      <c r="AH173" s="275"/>
      <c r="AI173" s="276"/>
      <c r="AJ173" s="275"/>
      <c r="AK173" s="277"/>
      <c r="AL173" s="274"/>
      <c r="AM173" s="274"/>
      <c r="AN173" s="274"/>
      <c r="AO173" s="274"/>
      <c r="AP173" s="278"/>
      <c r="AQ173" s="279"/>
      <c r="AR173" s="280"/>
      <c r="AS173" s="281"/>
      <c r="AV173" s="237"/>
      <c r="AW173" s="237"/>
      <c r="AX173" s="237"/>
      <c r="AY173" s="237"/>
      <c r="AZ173" s="282"/>
      <c r="BC173" s="283"/>
      <c r="BD173" s="283"/>
      <c r="BE173" s="283"/>
      <c r="BF173" s="283"/>
      <c r="BJ173" s="285"/>
      <c r="BK173" s="285"/>
      <c r="BL173" s="165"/>
      <c r="BM173" s="261"/>
      <c r="BN173" s="261"/>
    </row>
    <row r="174" spans="3:66" x14ac:dyDescent="0.25">
      <c r="C174" s="171"/>
      <c r="D174" s="171"/>
      <c r="E174" s="152"/>
      <c r="F174" s="171"/>
      <c r="G174" s="171"/>
      <c r="H174" s="22"/>
      <c r="I174" s="172"/>
      <c r="J174" s="172"/>
      <c r="K174" s="171"/>
      <c r="L174" s="172"/>
      <c r="M174" s="172"/>
      <c r="N174" s="172"/>
      <c r="O174" s="172"/>
      <c r="P174" s="23"/>
      <c r="Q174" s="23"/>
      <c r="R174" s="172"/>
      <c r="S174" s="172"/>
      <c r="T174" s="172"/>
      <c r="U174" s="172"/>
      <c r="V174" s="20"/>
      <c r="W174" s="24"/>
      <c r="X174" s="24"/>
      <c r="Y174" s="25"/>
      <c r="Z174" s="25"/>
      <c r="AA174" s="25"/>
      <c r="AB174" s="25"/>
      <c r="AC174" s="25"/>
      <c r="AD174" s="24"/>
      <c r="AE174" s="24"/>
      <c r="AF174" s="24"/>
      <c r="AG174" s="24"/>
      <c r="AH174" s="25"/>
      <c r="AI174" s="26"/>
      <c r="AJ174" s="25"/>
      <c r="AK174" s="31"/>
      <c r="AL174" s="24"/>
      <c r="AM174" s="24"/>
      <c r="AN174" s="24"/>
      <c r="AO174" s="24"/>
      <c r="AP174" s="27"/>
      <c r="AQ174" s="28"/>
      <c r="AR174" s="29"/>
      <c r="AS174" s="30"/>
      <c r="AV174" s="316"/>
      <c r="AW174" s="316"/>
      <c r="AX174" s="316"/>
      <c r="AY174" s="316"/>
      <c r="AZ174" s="315"/>
      <c r="BC174" s="261"/>
      <c r="BD174" s="261"/>
      <c r="BE174" s="261"/>
      <c r="BF174" s="261"/>
    </row>
    <row r="175" spans="3:66" hidden="1" x14ac:dyDescent="0.25">
      <c r="C175" s="171"/>
      <c r="D175" s="171"/>
      <c r="E175" s="152"/>
      <c r="F175" s="171"/>
      <c r="G175" s="171"/>
      <c r="H175" s="22"/>
      <c r="I175" s="172"/>
      <c r="J175" s="172"/>
      <c r="K175" s="171"/>
      <c r="L175" s="172"/>
      <c r="M175" s="172"/>
      <c r="N175" s="172"/>
      <c r="O175" s="172"/>
      <c r="P175" s="23"/>
      <c r="Q175" s="23"/>
      <c r="R175" s="172"/>
      <c r="S175" s="172"/>
      <c r="T175" s="172"/>
      <c r="U175" s="172"/>
      <c r="V175" s="20"/>
      <c r="W175" s="24"/>
      <c r="X175" s="24"/>
      <c r="Y175" s="25"/>
      <c r="Z175" s="25"/>
      <c r="AA175" s="25"/>
      <c r="AB175" s="25"/>
      <c r="AC175" s="25"/>
      <c r="AD175" s="24"/>
      <c r="AE175" s="24"/>
      <c r="AF175" s="24"/>
      <c r="AG175" s="24"/>
      <c r="AH175" s="25"/>
      <c r="AI175" s="26"/>
      <c r="AJ175" s="25"/>
      <c r="AK175" s="31"/>
      <c r="AL175" s="24"/>
      <c r="AM175" s="24"/>
      <c r="AN175" s="24"/>
      <c r="AO175" s="24"/>
      <c r="AP175" s="27"/>
      <c r="AQ175" s="28"/>
      <c r="AR175" s="29"/>
      <c r="AS175" s="30"/>
      <c r="AV175" s="316"/>
      <c r="AW175" s="316"/>
      <c r="AX175" s="316"/>
      <c r="AY175" s="316"/>
      <c r="AZ175" s="315"/>
      <c r="BC175" s="261"/>
      <c r="BD175" s="261"/>
      <c r="BE175" s="261"/>
      <c r="BF175" s="261"/>
    </row>
    <row r="176" spans="3:66" hidden="1" x14ac:dyDescent="0.25">
      <c r="C176" s="171"/>
      <c r="D176" s="171"/>
      <c r="E176" s="152"/>
      <c r="F176" s="171"/>
      <c r="G176" s="171"/>
      <c r="H176" s="22"/>
      <c r="I176" s="172"/>
      <c r="J176" s="172"/>
      <c r="K176" s="171"/>
      <c r="L176" s="172"/>
      <c r="M176" s="172"/>
      <c r="N176" s="172"/>
      <c r="O176" s="172"/>
      <c r="P176" s="23"/>
      <c r="Q176" s="23"/>
      <c r="R176" s="172"/>
      <c r="S176" s="172"/>
      <c r="T176" s="172"/>
      <c r="U176" s="172"/>
      <c r="V176" s="20"/>
      <c r="W176" s="24"/>
      <c r="X176" s="24"/>
      <c r="Y176" s="25"/>
      <c r="Z176" s="25"/>
      <c r="AA176" s="25"/>
      <c r="AB176" s="25"/>
      <c r="AC176" s="25"/>
      <c r="AD176" s="24"/>
      <c r="AE176" s="24"/>
      <c r="AF176" s="24"/>
      <c r="AG176" s="24"/>
      <c r="AH176" s="25"/>
      <c r="AI176" s="26"/>
      <c r="AJ176" s="25"/>
      <c r="AK176" s="31"/>
      <c r="AL176" s="24"/>
      <c r="AM176" s="24"/>
      <c r="AN176" s="24"/>
      <c r="AO176" s="24"/>
      <c r="AP176" s="27"/>
      <c r="AQ176" s="28"/>
      <c r="AR176" s="29"/>
      <c r="AS176" s="30"/>
      <c r="AV176" s="316"/>
      <c r="AW176" s="316"/>
      <c r="AX176" s="316"/>
      <c r="AY176" s="316"/>
      <c r="AZ176" s="315"/>
      <c r="BC176" s="261"/>
      <c r="BD176" s="261"/>
      <c r="BE176" s="261"/>
      <c r="BF176" s="261"/>
    </row>
    <row r="177" spans="3:58" hidden="1" x14ac:dyDescent="0.25">
      <c r="C177" s="171"/>
      <c r="D177" s="171"/>
      <c r="E177" s="152"/>
      <c r="F177" s="171"/>
      <c r="G177" s="171"/>
      <c r="H177" s="22"/>
      <c r="I177" s="172"/>
      <c r="J177" s="172"/>
      <c r="K177" s="171"/>
      <c r="L177" s="172"/>
      <c r="M177" s="172"/>
      <c r="N177" s="172"/>
      <c r="O177" s="172"/>
      <c r="P177" s="23"/>
      <c r="Q177" s="23"/>
      <c r="R177" s="172"/>
      <c r="S177" s="172"/>
      <c r="T177" s="172"/>
      <c r="U177" s="172"/>
      <c r="V177" s="20"/>
      <c r="W177" s="24"/>
      <c r="X177" s="24"/>
      <c r="Y177" s="25"/>
      <c r="Z177" s="25"/>
      <c r="AA177" s="25"/>
      <c r="AB177" s="25"/>
      <c r="AC177" s="25"/>
      <c r="AD177" s="24"/>
      <c r="AE177" s="24"/>
      <c r="AF177" s="24"/>
      <c r="AG177" s="24"/>
      <c r="AH177" s="25"/>
      <c r="AI177" s="26"/>
      <c r="AJ177" s="25"/>
      <c r="AK177" s="31"/>
      <c r="AL177" s="24"/>
      <c r="AM177" s="24"/>
      <c r="AN177" s="24"/>
      <c r="AO177" s="24"/>
      <c r="AP177" s="27"/>
      <c r="AQ177" s="28"/>
      <c r="AR177" s="29"/>
      <c r="AS177" s="30"/>
      <c r="AV177" s="316"/>
      <c r="AW177" s="316"/>
      <c r="AX177" s="316"/>
      <c r="AY177" s="316"/>
      <c r="AZ177" s="315"/>
      <c r="BC177" s="261"/>
      <c r="BD177" s="261"/>
      <c r="BE177" s="261"/>
      <c r="BF177" s="261"/>
    </row>
    <row r="178" spans="3:58" hidden="1" x14ac:dyDescent="0.25">
      <c r="C178" s="171"/>
      <c r="D178" s="171"/>
      <c r="E178" s="152"/>
      <c r="F178" s="171"/>
      <c r="G178" s="171"/>
      <c r="H178" s="22"/>
      <c r="I178" s="172"/>
      <c r="J178" s="172"/>
      <c r="K178" s="171"/>
      <c r="L178" s="172"/>
      <c r="M178" s="172"/>
      <c r="N178" s="172"/>
      <c r="O178" s="172"/>
      <c r="P178" s="23"/>
      <c r="Q178" s="23"/>
      <c r="R178" s="172"/>
      <c r="S178" s="172"/>
      <c r="T178" s="172"/>
      <c r="U178" s="172"/>
      <c r="V178" s="20"/>
      <c r="W178" s="24"/>
      <c r="X178" s="24"/>
      <c r="Y178" s="25"/>
      <c r="Z178" s="25"/>
      <c r="AA178" s="25"/>
      <c r="AB178" s="25"/>
      <c r="AC178" s="25"/>
      <c r="AD178" s="24"/>
      <c r="AE178" s="24"/>
      <c r="AF178" s="24"/>
      <c r="AG178" s="24"/>
      <c r="AH178" s="25"/>
      <c r="AI178" s="26"/>
      <c r="AJ178" s="25"/>
      <c r="AK178" s="31"/>
      <c r="AL178" s="24"/>
      <c r="AM178" s="24"/>
      <c r="AN178" s="24"/>
      <c r="AO178" s="24"/>
      <c r="AP178" s="27"/>
      <c r="AQ178" s="28"/>
      <c r="AR178" s="29"/>
      <c r="AS178" s="30"/>
      <c r="AV178" s="316"/>
      <c r="AW178" s="316"/>
      <c r="AX178" s="316"/>
      <c r="AY178" s="316"/>
      <c r="AZ178" s="315"/>
      <c r="BC178" s="261"/>
      <c r="BD178" s="261"/>
      <c r="BE178" s="261"/>
      <c r="BF178" s="261"/>
    </row>
    <row r="179" spans="3:58" hidden="1" x14ac:dyDescent="0.25">
      <c r="C179" s="171"/>
      <c r="D179" s="171"/>
      <c r="E179" s="152"/>
      <c r="F179" s="171"/>
      <c r="G179" s="171"/>
      <c r="H179" s="22"/>
      <c r="I179" s="172"/>
      <c r="J179" s="172"/>
      <c r="K179" s="171"/>
      <c r="L179" s="172"/>
      <c r="M179" s="172"/>
      <c r="N179" s="172"/>
      <c r="O179" s="172"/>
      <c r="P179" s="23"/>
      <c r="Q179" s="23"/>
      <c r="R179" s="172"/>
      <c r="S179" s="172"/>
      <c r="T179" s="172"/>
      <c r="U179" s="172"/>
      <c r="V179" s="20"/>
      <c r="W179" s="24"/>
      <c r="X179" s="24"/>
      <c r="Y179" s="25"/>
      <c r="Z179" s="25"/>
      <c r="AA179" s="25"/>
      <c r="AB179" s="25"/>
      <c r="AC179" s="25"/>
      <c r="AD179" s="24"/>
      <c r="AE179" s="24"/>
      <c r="AF179" s="24"/>
      <c r="AG179" s="24"/>
      <c r="AH179" s="25"/>
      <c r="AI179" s="26"/>
      <c r="AJ179" s="25"/>
      <c r="AK179" s="31"/>
      <c r="AL179" s="24"/>
      <c r="AM179" s="24"/>
      <c r="AN179" s="24"/>
      <c r="AO179" s="24"/>
      <c r="AP179" s="27"/>
      <c r="AQ179" s="28"/>
      <c r="AR179" s="29"/>
      <c r="AS179" s="30"/>
      <c r="AV179" s="316"/>
      <c r="AW179" s="316"/>
      <c r="AX179" s="316"/>
      <c r="AY179" s="316"/>
      <c r="AZ179" s="315"/>
      <c r="BC179" s="261"/>
      <c r="BD179" s="261"/>
      <c r="BE179" s="261"/>
      <c r="BF179" s="261"/>
    </row>
    <row r="180" spans="3:58" hidden="1" x14ac:dyDescent="0.25">
      <c r="C180" s="171"/>
      <c r="D180" s="171"/>
      <c r="E180" s="152"/>
      <c r="F180" s="171"/>
      <c r="G180" s="171"/>
      <c r="H180" s="22"/>
      <c r="I180" s="172"/>
      <c r="J180" s="172"/>
      <c r="K180" s="171"/>
      <c r="L180" s="172"/>
      <c r="M180" s="172"/>
      <c r="N180" s="172"/>
      <c r="O180" s="172"/>
      <c r="P180" s="23"/>
      <c r="Q180" s="23"/>
      <c r="R180" s="172"/>
      <c r="S180" s="172"/>
      <c r="T180" s="172"/>
      <c r="U180" s="172"/>
      <c r="V180" s="20"/>
      <c r="W180" s="24"/>
      <c r="X180" s="24"/>
      <c r="Y180" s="25"/>
      <c r="Z180" s="25"/>
      <c r="AA180" s="25"/>
      <c r="AB180" s="25"/>
      <c r="AC180" s="25"/>
      <c r="AD180" s="24"/>
      <c r="AE180" s="24"/>
      <c r="AF180" s="24"/>
      <c r="AG180" s="24"/>
      <c r="AH180" s="25"/>
      <c r="AI180" s="26"/>
      <c r="AJ180" s="25"/>
      <c r="AK180" s="31"/>
      <c r="AL180" s="24"/>
      <c r="AM180" s="24"/>
      <c r="AN180" s="24"/>
      <c r="AO180" s="24"/>
      <c r="AP180" s="27"/>
      <c r="AQ180" s="28"/>
      <c r="AR180" s="29"/>
      <c r="AS180" s="30"/>
      <c r="AV180" s="316"/>
      <c r="AW180" s="316"/>
      <c r="AX180" s="316"/>
      <c r="AY180" s="316"/>
      <c r="AZ180" s="315"/>
      <c r="BC180" s="261"/>
      <c r="BD180" s="261"/>
      <c r="BE180" s="261"/>
      <c r="BF180" s="261"/>
    </row>
    <row r="181" spans="3:58" hidden="1" x14ac:dyDescent="0.25">
      <c r="C181" s="171"/>
      <c r="D181" s="171"/>
      <c r="E181" s="152"/>
      <c r="F181" s="171"/>
      <c r="G181" s="171"/>
      <c r="H181" s="22"/>
      <c r="I181" s="172"/>
      <c r="J181" s="172"/>
      <c r="K181" s="171"/>
      <c r="L181" s="172"/>
      <c r="M181" s="172"/>
      <c r="N181" s="172"/>
      <c r="O181" s="172"/>
      <c r="P181" s="23"/>
      <c r="Q181" s="23"/>
      <c r="R181" s="172"/>
      <c r="S181" s="172"/>
      <c r="T181" s="172"/>
      <c r="U181" s="172"/>
      <c r="V181" s="20"/>
      <c r="W181" s="24"/>
      <c r="X181" s="24"/>
      <c r="Y181" s="25"/>
      <c r="Z181" s="25"/>
      <c r="AA181" s="25"/>
      <c r="AB181" s="25"/>
      <c r="AC181" s="25"/>
      <c r="AD181" s="24"/>
      <c r="AE181" s="24"/>
      <c r="AF181" s="24"/>
      <c r="AG181" s="24"/>
      <c r="AH181" s="25"/>
      <c r="AI181" s="26"/>
      <c r="AJ181" s="25"/>
      <c r="AK181" s="31"/>
      <c r="AL181" s="24"/>
      <c r="AM181" s="24"/>
      <c r="AN181" s="24"/>
      <c r="AO181" s="24"/>
      <c r="AP181" s="27"/>
      <c r="AQ181" s="28"/>
      <c r="AR181" s="29"/>
      <c r="AS181" s="30"/>
      <c r="AV181" s="316"/>
      <c r="AW181" s="316"/>
      <c r="AX181" s="316"/>
      <c r="AY181" s="316"/>
      <c r="AZ181" s="315"/>
      <c r="BC181" s="261"/>
      <c r="BD181" s="261"/>
      <c r="BE181" s="261"/>
      <c r="BF181" s="261"/>
    </row>
    <row r="182" spans="3:58" hidden="1" x14ac:dyDescent="0.25">
      <c r="C182" s="171"/>
      <c r="D182" s="171"/>
      <c r="E182" s="152"/>
      <c r="F182" s="171"/>
      <c r="G182" s="171"/>
      <c r="H182" s="22"/>
      <c r="I182" s="172"/>
      <c r="J182" s="172"/>
      <c r="K182" s="171"/>
      <c r="L182" s="172"/>
      <c r="M182" s="172"/>
      <c r="N182" s="172"/>
      <c r="O182" s="172"/>
      <c r="P182" s="23"/>
      <c r="Q182" s="23"/>
      <c r="R182" s="172"/>
      <c r="S182" s="172"/>
      <c r="T182" s="172"/>
      <c r="U182" s="172"/>
      <c r="V182" s="20"/>
      <c r="W182" s="24"/>
      <c r="X182" s="24"/>
      <c r="Y182" s="25"/>
      <c r="Z182" s="25"/>
      <c r="AA182" s="25"/>
      <c r="AB182" s="25"/>
      <c r="AC182" s="25"/>
      <c r="AD182" s="24"/>
      <c r="AE182" s="24"/>
      <c r="AF182" s="24"/>
      <c r="AG182" s="24"/>
      <c r="AH182" s="25"/>
      <c r="AI182" s="26"/>
      <c r="AJ182" s="25"/>
      <c r="AK182" s="31"/>
      <c r="AL182" s="24"/>
      <c r="AM182" s="24"/>
      <c r="AN182" s="24"/>
      <c r="AO182" s="24"/>
      <c r="AP182" s="27"/>
      <c r="AQ182" s="28"/>
      <c r="AR182" s="29"/>
      <c r="AS182" s="30"/>
      <c r="AV182" s="316"/>
      <c r="AW182" s="316"/>
      <c r="AX182" s="316"/>
      <c r="AY182" s="316"/>
      <c r="AZ182" s="315"/>
      <c r="BC182" s="261"/>
      <c r="BD182" s="261"/>
      <c r="BE182" s="261"/>
      <c r="BF182" s="261"/>
    </row>
    <row r="183" spans="3:58" hidden="1" x14ac:dyDescent="0.25">
      <c r="C183" s="171"/>
      <c r="D183" s="171"/>
      <c r="E183" s="152"/>
      <c r="F183" s="171"/>
      <c r="G183" s="171"/>
      <c r="H183" s="22"/>
      <c r="I183" s="172"/>
      <c r="J183" s="172"/>
      <c r="K183" s="171"/>
      <c r="L183" s="172"/>
      <c r="M183" s="172"/>
      <c r="N183" s="172"/>
      <c r="O183" s="172"/>
      <c r="P183" s="23"/>
      <c r="Q183" s="23"/>
      <c r="R183" s="172"/>
      <c r="S183" s="172"/>
      <c r="T183" s="172"/>
      <c r="U183" s="172"/>
      <c r="V183" s="20"/>
      <c r="W183" s="24"/>
      <c r="X183" s="24"/>
      <c r="Y183" s="25"/>
      <c r="Z183" s="25"/>
      <c r="AA183" s="25"/>
      <c r="AB183" s="25"/>
      <c r="AC183" s="25"/>
      <c r="AD183" s="24"/>
      <c r="AE183" s="24"/>
      <c r="AF183" s="24"/>
      <c r="AG183" s="24"/>
      <c r="AH183" s="25"/>
      <c r="AI183" s="26"/>
      <c r="AJ183" s="25"/>
      <c r="AK183" s="31"/>
      <c r="AL183" s="24"/>
      <c r="AM183" s="24"/>
      <c r="AN183" s="24"/>
      <c r="AO183" s="24"/>
      <c r="AP183" s="27"/>
      <c r="AQ183" s="28"/>
      <c r="AR183" s="29"/>
      <c r="AS183" s="30"/>
      <c r="AV183" s="316"/>
      <c r="AW183" s="316"/>
      <c r="AX183" s="316"/>
      <c r="AY183" s="316"/>
      <c r="AZ183" s="315"/>
      <c r="BC183" s="261"/>
      <c r="BD183" s="261"/>
      <c r="BE183" s="261"/>
      <c r="BF183" s="261"/>
    </row>
    <row r="184" spans="3:58" hidden="1" x14ac:dyDescent="0.25">
      <c r="C184" s="171"/>
      <c r="D184" s="171"/>
      <c r="E184" s="152"/>
      <c r="F184" s="171"/>
      <c r="G184" s="171"/>
      <c r="H184" s="22"/>
      <c r="I184" s="172"/>
      <c r="J184" s="172"/>
      <c r="K184" s="171"/>
      <c r="L184" s="172"/>
      <c r="M184" s="172"/>
      <c r="N184" s="172"/>
      <c r="O184" s="172"/>
      <c r="P184" s="23"/>
      <c r="Q184" s="23"/>
      <c r="R184" s="172"/>
      <c r="S184" s="172"/>
      <c r="T184" s="172"/>
      <c r="U184" s="172"/>
      <c r="V184" s="20"/>
      <c r="W184" s="24"/>
      <c r="X184" s="24"/>
      <c r="Y184" s="25"/>
      <c r="Z184" s="25"/>
      <c r="AA184" s="25"/>
      <c r="AB184" s="25"/>
      <c r="AC184" s="25"/>
      <c r="AD184" s="24"/>
      <c r="AE184" s="24"/>
      <c r="AF184" s="24"/>
      <c r="AG184" s="24"/>
      <c r="AH184" s="25"/>
      <c r="AI184" s="26"/>
      <c r="AJ184" s="25"/>
      <c r="AK184" s="31"/>
      <c r="AL184" s="24"/>
      <c r="AM184" s="24"/>
      <c r="AN184" s="24"/>
      <c r="AO184" s="24"/>
      <c r="AP184" s="27"/>
      <c r="AQ184" s="28"/>
      <c r="AR184" s="29"/>
      <c r="AS184" s="30"/>
      <c r="AV184" s="316"/>
      <c r="AW184" s="316"/>
      <c r="AX184" s="316"/>
      <c r="AY184" s="316"/>
      <c r="AZ184" s="315"/>
      <c r="BC184" s="261"/>
      <c r="BD184" s="261"/>
      <c r="BE184" s="261"/>
      <c r="BF184" s="261"/>
    </row>
    <row r="185" spans="3:58" hidden="1" x14ac:dyDescent="0.25">
      <c r="C185" s="171"/>
      <c r="D185" s="171"/>
      <c r="E185" s="152"/>
      <c r="F185" s="171"/>
      <c r="G185" s="171"/>
      <c r="H185" s="22"/>
      <c r="I185" s="172"/>
      <c r="J185" s="172"/>
      <c r="K185" s="171"/>
      <c r="L185" s="172"/>
      <c r="M185" s="172"/>
      <c r="N185" s="172"/>
      <c r="O185" s="172"/>
      <c r="P185" s="23"/>
      <c r="Q185" s="23"/>
      <c r="R185" s="172"/>
      <c r="S185" s="172"/>
      <c r="T185" s="172"/>
      <c r="U185" s="172"/>
      <c r="V185" s="20"/>
      <c r="W185" s="24"/>
      <c r="X185" s="24"/>
      <c r="Y185" s="25"/>
      <c r="Z185" s="25"/>
      <c r="AA185" s="25"/>
      <c r="AB185" s="25"/>
      <c r="AC185" s="25"/>
      <c r="AD185" s="24"/>
      <c r="AE185" s="24"/>
      <c r="AF185" s="24"/>
      <c r="AG185" s="24"/>
      <c r="AH185" s="25"/>
      <c r="AI185" s="26"/>
      <c r="AJ185" s="25"/>
      <c r="AK185" s="31"/>
      <c r="AL185" s="24"/>
      <c r="AM185" s="24"/>
      <c r="AN185" s="24"/>
      <c r="AO185" s="24"/>
      <c r="AP185" s="27"/>
      <c r="AQ185" s="28"/>
      <c r="AR185" s="29"/>
      <c r="AS185" s="30"/>
      <c r="AV185" s="316"/>
      <c r="AW185" s="316"/>
      <c r="AX185" s="316"/>
      <c r="AY185" s="316"/>
      <c r="AZ185" s="315"/>
      <c r="BC185" s="261"/>
      <c r="BD185" s="261"/>
      <c r="BE185" s="261"/>
      <c r="BF185" s="261"/>
    </row>
    <row r="186" spans="3:58" hidden="1" x14ac:dyDescent="0.25">
      <c r="C186" s="171"/>
      <c r="D186" s="171"/>
      <c r="E186" s="152"/>
      <c r="F186" s="171"/>
      <c r="G186" s="171"/>
      <c r="H186" s="22"/>
      <c r="I186" s="172"/>
      <c r="J186" s="172"/>
      <c r="K186" s="171"/>
      <c r="L186" s="172"/>
      <c r="M186" s="172"/>
      <c r="N186" s="172"/>
      <c r="O186" s="172"/>
      <c r="P186" s="23"/>
      <c r="Q186" s="23"/>
      <c r="R186" s="172"/>
      <c r="S186" s="172"/>
      <c r="T186" s="172"/>
      <c r="U186" s="172"/>
      <c r="V186" s="20"/>
      <c r="W186" s="24"/>
      <c r="X186" s="24"/>
      <c r="Y186" s="24"/>
      <c r="Z186" s="24"/>
      <c r="AA186" s="24"/>
      <c r="AB186" s="24"/>
      <c r="AC186" s="24"/>
      <c r="AD186" s="24"/>
      <c r="AE186" s="24"/>
      <c r="AF186" s="24"/>
      <c r="AG186" s="24"/>
      <c r="AH186" s="25"/>
      <c r="AI186" s="26"/>
      <c r="AJ186" s="25"/>
      <c r="AK186" s="31"/>
      <c r="AL186" s="24"/>
      <c r="AM186" s="24"/>
      <c r="AN186" s="24"/>
      <c r="AO186" s="24"/>
      <c r="AP186" s="27"/>
      <c r="AQ186" s="28"/>
      <c r="AR186" s="29"/>
      <c r="AS186" s="30"/>
      <c r="AV186" s="316"/>
      <c r="AW186" s="316"/>
      <c r="AX186" s="316"/>
      <c r="AY186" s="316"/>
      <c r="AZ186" s="315"/>
    </row>
    <row r="187" spans="3:58" hidden="1" x14ac:dyDescent="0.25">
      <c r="C187" s="171"/>
      <c r="D187" s="171"/>
      <c r="E187" s="152"/>
      <c r="F187" s="171"/>
      <c r="G187" s="171"/>
      <c r="H187" s="22"/>
      <c r="I187" s="172"/>
      <c r="J187" s="172"/>
      <c r="K187" s="171"/>
      <c r="L187" s="172"/>
      <c r="M187" s="172"/>
      <c r="N187" s="172"/>
      <c r="O187" s="172"/>
      <c r="P187" s="23"/>
      <c r="Q187" s="23"/>
      <c r="R187" s="172"/>
      <c r="S187" s="172"/>
      <c r="T187" s="172"/>
      <c r="U187" s="172"/>
      <c r="V187" s="20"/>
      <c r="W187" s="24"/>
      <c r="X187" s="24"/>
      <c r="Y187" s="24"/>
      <c r="Z187" s="24"/>
      <c r="AA187" s="24"/>
      <c r="AB187" s="24"/>
      <c r="AC187" s="24"/>
      <c r="AD187" s="24"/>
      <c r="AE187" s="24"/>
      <c r="AF187" s="24"/>
      <c r="AG187" s="24"/>
      <c r="AH187" s="25"/>
      <c r="AI187" s="26"/>
      <c r="AJ187" s="25"/>
      <c r="AK187" s="31"/>
      <c r="AL187" s="24"/>
      <c r="AM187" s="24"/>
      <c r="AN187" s="24"/>
      <c r="AO187" s="24"/>
      <c r="AP187" s="27"/>
      <c r="AQ187" s="28"/>
      <c r="AR187" s="29"/>
      <c r="AS187" s="30"/>
      <c r="AV187" s="316"/>
      <c r="AW187" s="316"/>
      <c r="AX187" s="316"/>
      <c r="AY187" s="316"/>
      <c r="AZ187" s="315"/>
    </row>
    <row r="188" spans="3:58" hidden="1" x14ac:dyDescent="0.25">
      <c r="C188" s="171"/>
      <c r="D188" s="171"/>
      <c r="E188" s="152"/>
      <c r="F188" s="171"/>
      <c r="G188" s="171"/>
      <c r="H188" s="22"/>
      <c r="I188" s="172"/>
      <c r="J188" s="172"/>
      <c r="K188" s="171"/>
      <c r="L188" s="172"/>
      <c r="M188" s="172"/>
      <c r="N188" s="172"/>
      <c r="O188" s="172"/>
      <c r="P188" s="23"/>
      <c r="Q188" s="23"/>
      <c r="R188" s="172"/>
      <c r="S188" s="172"/>
      <c r="T188" s="172"/>
      <c r="U188" s="172"/>
      <c r="V188" s="20"/>
      <c r="W188" s="24"/>
      <c r="X188" s="24"/>
      <c r="Y188" s="24"/>
      <c r="Z188" s="24"/>
      <c r="AA188" s="24"/>
      <c r="AB188" s="24"/>
      <c r="AC188" s="24"/>
      <c r="AD188" s="24"/>
      <c r="AE188" s="24"/>
      <c r="AF188" s="24"/>
      <c r="AG188" s="24"/>
      <c r="AH188" s="25"/>
      <c r="AI188" s="26"/>
      <c r="AJ188" s="25"/>
      <c r="AK188" s="31"/>
      <c r="AL188" s="24"/>
      <c r="AM188" s="24"/>
      <c r="AN188" s="24"/>
      <c r="AO188" s="24"/>
      <c r="AP188" s="27"/>
      <c r="AQ188" s="28"/>
      <c r="AR188" s="29"/>
      <c r="AS188" s="30"/>
      <c r="AV188" s="316"/>
      <c r="AW188" s="316"/>
      <c r="AX188" s="316"/>
      <c r="AY188" s="316"/>
      <c r="AZ188" s="315"/>
    </row>
    <row r="189" spans="3:58" hidden="1" x14ac:dyDescent="0.25">
      <c r="C189" s="171"/>
      <c r="D189" s="171"/>
      <c r="E189" s="152"/>
      <c r="F189" s="171"/>
      <c r="G189" s="171"/>
      <c r="H189" s="22"/>
      <c r="I189" s="172"/>
      <c r="J189" s="172"/>
      <c r="K189" s="171"/>
      <c r="L189" s="172"/>
      <c r="M189" s="172"/>
      <c r="N189" s="172"/>
      <c r="O189" s="172"/>
      <c r="P189" s="23"/>
      <c r="Q189" s="23"/>
      <c r="R189" s="172"/>
      <c r="S189" s="172"/>
      <c r="T189" s="172"/>
      <c r="U189" s="172"/>
      <c r="V189" s="20"/>
      <c r="W189" s="24"/>
      <c r="X189" s="24"/>
      <c r="Y189" s="24"/>
      <c r="Z189" s="24"/>
      <c r="AA189" s="24"/>
      <c r="AB189" s="24"/>
      <c r="AC189" s="24"/>
      <c r="AD189" s="24"/>
      <c r="AE189" s="24"/>
      <c r="AF189" s="24"/>
      <c r="AG189" s="24"/>
      <c r="AH189" s="25"/>
      <c r="AI189" s="26"/>
      <c r="AJ189" s="25"/>
      <c r="AK189" s="31"/>
      <c r="AL189" s="24"/>
      <c r="AM189" s="24"/>
      <c r="AN189" s="24"/>
      <c r="AO189" s="24"/>
      <c r="AP189" s="27"/>
      <c r="AQ189" s="28"/>
      <c r="AR189" s="29"/>
      <c r="AS189" s="30"/>
      <c r="AV189" s="316"/>
      <c r="AW189" s="316"/>
      <c r="AX189" s="316"/>
      <c r="AY189" s="316"/>
      <c r="AZ189" s="315"/>
    </row>
    <row r="190" spans="3:58" hidden="1" x14ac:dyDescent="0.25">
      <c r="C190" s="171"/>
      <c r="D190" s="131"/>
      <c r="E190" s="152"/>
      <c r="F190" s="171"/>
      <c r="G190" s="171"/>
      <c r="H190" s="22"/>
      <c r="I190" s="172"/>
      <c r="J190" s="172"/>
      <c r="K190" s="171"/>
      <c r="L190" s="172"/>
      <c r="M190" s="172"/>
      <c r="N190" s="172"/>
      <c r="O190" s="172"/>
      <c r="P190" s="23"/>
      <c r="Q190" s="23"/>
      <c r="R190" s="172"/>
      <c r="S190" s="172"/>
      <c r="T190" s="172"/>
      <c r="U190" s="172"/>
      <c r="V190" s="20"/>
      <c r="W190" s="24"/>
      <c r="X190" s="24"/>
      <c r="Y190" s="24"/>
      <c r="Z190" s="24"/>
      <c r="AA190" s="24"/>
      <c r="AB190" s="24"/>
      <c r="AC190" s="24"/>
      <c r="AD190" s="24"/>
      <c r="AE190" s="24"/>
      <c r="AF190" s="24"/>
      <c r="AG190" s="24"/>
      <c r="AH190" s="25"/>
      <c r="AI190" s="26"/>
      <c r="AJ190" s="25"/>
      <c r="AK190" s="31"/>
      <c r="AL190" s="24"/>
      <c r="AM190" s="24"/>
      <c r="AN190" s="24"/>
      <c r="AO190" s="24"/>
      <c r="AP190" s="27"/>
      <c r="AQ190" s="28"/>
      <c r="AR190" s="29"/>
      <c r="AS190" s="30"/>
      <c r="AV190" s="316"/>
      <c r="AW190" s="316"/>
      <c r="AX190" s="316"/>
      <c r="AY190" s="316"/>
      <c r="AZ190" s="315"/>
    </row>
    <row r="191" spans="3:58" hidden="1" x14ac:dyDescent="0.25">
      <c r="C191" s="171"/>
      <c r="D191" s="171"/>
      <c r="E191" s="152"/>
      <c r="F191" s="171"/>
      <c r="G191" s="171"/>
      <c r="H191" s="22"/>
      <c r="I191" s="172"/>
      <c r="J191" s="172"/>
      <c r="K191" s="171"/>
      <c r="L191" s="172"/>
      <c r="M191" s="172"/>
      <c r="N191" s="172"/>
      <c r="O191" s="172"/>
      <c r="P191" s="23"/>
      <c r="Q191" s="23"/>
      <c r="R191" s="172"/>
      <c r="S191" s="172"/>
      <c r="T191" s="172"/>
      <c r="U191" s="172"/>
      <c r="V191" s="20"/>
      <c r="W191" s="24"/>
      <c r="X191" s="24"/>
      <c r="Y191" s="24"/>
      <c r="Z191" s="24"/>
      <c r="AA191" s="24"/>
      <c r="AB191" s="24"/>
      <c r="AC191" s="24"/>
      <c r="AD191" s="24"/>
      <c r="AE191" s="24"/>
      <c r="AF191" s="24"/>
      <c r="AG191" s="24"/>
      <c r="AH191" s="25"/>
      <c r="AI191" s="26"/>
      <c r="AJ191" s="25"/>
      <c r="AK191" s="31"/>
      <c r="AL191" s="24"/>
      <c r="AM191" s="24"/>
      <c r="AN191" s="24"/>
      <c r="AO191" s="24"/>
      <c r="AP191" s="27"/>
      <c r="AQ191" s="28"/>
      <c r="AR191" s="29"/>
      <c r="AS191" s="30"/>
      <c r="AV191" s="316"/>
      <c r="AW191" s="316"/>
      <c r="AX191" s="316"/>
      <c r="AY191" s="316"/>
      <c r="AZ191" s="315"/>
    </row>
    <row r="192" spans="3:58" hidden="1" x14ac:dyDescent="0.25">
      <c r="C192" s="171"/>
      <c r="D192" s="171"/>
      <c r="E192" s="152"/>
      <c r="F192" s="171"/>
      <c r="G192" s="171"/>
      <c r="H192" s="22"/>
      <c r="I192" s="172"/>
      <c r="J192" s="172"/>
      <c r="K192" s="171"/>
      <c r="L192" s="172"/>
      <c r="M192" s="172"/>
      <c r="N192" s="172"/>
      <c r="O192" s="172"/>
      <c r="P192" s="23"/>
      <c r="Q192" s="23"/>
      <c r="R192" s="172"/>
      <c r="S192" s="172"/>
      <c r="T192" s="172"/>
      <c r="U192" s="172"/>
      <c r="V192" s="20"/>
      <c r="W192" s="24"/>
      <c r="X192" s="24"/>
      <c r="Y192" s="24"/>
      <c r="Z192" s="24"/>
      <c r="AA192" s="24"/>
      <c r="AB192" s="24"/>
      <c r="AC192" s="24"/>
      <c r="AD192" s="24"/>
      <c r="AE192" s="24"/>
      <c r="AF192" s="24"/>
      <c r="AG192" s="24"/>
      <c r="AH192" s="25"/>
      <c r="AI192" s="26"/>
      <c r="AJ192" s="25"/>
      <c r="AK192" s="31"/>
      <c r="AL192" s="24"/>
      <c r="AM192" s="24"/>
      <c r="AN192" s="24"/>
      <c r="AO192" s="24"/>
      <c r="AP192" s="27"/>
      <c r="AQ192" s="28"/>
      <c r="AR192" s="29"/>
      <c r="AS192" s="30"/>
      <c r="AV192" s="316"/>
      <c r="AW192" s="316"/>
      <c r="AX192" s="316"/>
      <c r="AY192" s="316"/>
      <c r="AZ192" s="315"/>
    </row>
    <row r="193" spans="3:66" hidden="1" x14ac:dyDescent="0.25">
      <c r="C193" s="171"/>
      <c r="D193" s="171"/>
      <c r="E193" s="152"/>
      <c r="F193" s="171"/>
      <c r="G193" s="171"/>
      <c r="H193" s="22"/>
      <c r="I193" s="172"/>
      <c r="J193" s="172"/>
      <c r="K193" s="171"/>
      <c r="L193" s="172"/>
      <c r="M193" s="172"/>
      <c r="N193" s="172"/>
      <c r="O193" s="172"/>
      <c r="P193" s="23"/>
      <c r="Q193" s="23"/>
      <c r="R193" s="172"/>
      <c r="S193" s="172"/>
      <c r="T193" s="172"/>
      <c r="U193" s="172"/>
      <c r="V193" s="20"/>
      <c r="W193" s="24"/>
      <c r="X193" s="24"/>
      <c r="Y193" s="24"/>
      <c r="Z193" s="24"/>
      <c r="AA193" s="24"/>
      <c r="AB193" s="24"/>
      <c r="AC193" s="24"/>
      <c r="AD193" s="24"/>
      <c r="AE193" s="24"/>
      <c r="AF193" s="24"/>
      <c r="AG193" s="24"/>
      <c r="AH193" s="25"/>
      <c r="AI193" s="26"/>
      <c r="AJ193" s="25"/>
      <c r="AK193" s="31"/>
      <c r="AL193" s="24"/>
      <c r="AM193" s="24"/>
      <c r="AN193" s="24"/>
      <c r="AO193" s="24"/>
      <c r="AP193" s="27"/>
      <c r="AQ193" s="28"/>
      <c r="AR193" s="29"/>
      <c r="AS193" s="30"/>
      <c r="AV193" s="316"/>
      <c r="AW193" s="316"/>
      <c r="AX193" s="316"/>
      <c r="AY193" s="316"/>
      <c r="AZ193" s="315"/>
    </row>
    <row r="194" spans="3:66" hidden="1" x14ac:dyDescent="0.25">
      <c r="C194" s="171"/>
      <c r="D194" s="171"/>
      <c r="E194" s="152"/>
      <c r="F194" s="171"/>
      <c r="G194" s="171"/>
      <c r="H194" s="22"/>
      <c r="I194" s="172"/>
      <c r="J194" s="172"/>
      <c r="K194" s="171"/>
      <c r="L194" s="172"/>
      <c r="M194" s="172"/>
      <c r="N194" s="172"/>
      <c r="O194" s="172"/>
      <c r="P194" s="23"/>
      <c r="Q194" s="23"/>
      <c r="R194" s="172"/>
      <c r="S194" s="172"/>
      <c r="T194" s="172"/>
      <c r="U194" s="172"/>
      <c r="V194" s="20"/>
      <c r="W194" s="24"/>
      <c r="X194" s="24"/>
      <c r="Y194" s="24"/>
      <c r="Z194" s="24"/>
      <c r="AA194" s="24"/>
      <c r="AB194" s="24"/>
      <c r="AC194" s="24"/>
      <c r="AD194" s="24"/>
      <c r="AE194" s="24"/>
      <c r="AF194" s="24"/>
      <c r="AG194" s="24"/>
      <c r="AH194" s="25"/>
      <c r="AI194" s="26"/>
      <c r="AJ194" s="25"/>
      <c r="AK194" s="31"/>
      <c r="AL194" s="24"/>
      <c r="AM194" s="24"/>
      <c r="AN194" s="24"/>
      <c r="AO194" s="24"/>
      <c r="AP194" s="27"/>
      <c r="AQ194" s="28"/>
      <c r="AR194" s="29"/>
      <c r="AS194" s="30"/>
      <c r="AV194" s="316"/>
      <c r="AW194" s="316"/>
      <c r="AX194" s="316"/>
      <c r="AY194" s="316"/>
      <c r="AZ194" s="315"/>
    </row>
    <row r="195" spans="3:66" hidden="1" x14ac:dyDescent="0.25">
      <c r="C195" s="171"/>
      <c r="D195" s="171"/>
      <c r="E195" s="152"/>
      <c r="F195" s="171"/>
      <c r="G195" s="171"/>
      <c r="H195" s="22"/>
      <c r="I195" s="172"/>
      <c r="J195" s="172"/>
      <c r="K195" s="171"/>
      <c r="L195" s="172"/>
      <c r="M195" s="172"/>
      <c r="N195" s="172"/>
      <c r="O195" s="172"/>
      <c r="P195" s="23"/>
      <c r="Q195" s="23"/>
      <c r="R195" s="172"/>
      <c r="S195" s="172"/>
      <c r="T195" s="172"/>
      <c r="U195" s="172"/>
      <c r="V195" s="20"/>
      <c r="W195" s="24"/>
      <c r="X195" s="24"/>
      <c r="Y195" s="24"/>
      <c r="Z195" s="24"/>
      <c r="AA195" s="24"/>
      <c r="AB195" s="24"/>
      <c r="AC195" s="24"/>
      <c r="AD195" s="24"/>
      <c r="AE195" s="24"/>
      <c r="AF195" s="24"/>
      <c r="AG195" s="24"/>
      <c r="AH195" s="25"/>
      <c r="AI195" s="26"/>
      <c r="AJ195" s="25"/>
      <c r="AK195" s="31"/>
      <c r="AL195" s="24"/>
      <c r="AM195" s="24"/>
      <c r="AN195" s="24"/>
      <c r="AO195" s="24"/>
      <c r="AP195" s="27"/>
      <c r="AQ195" s="28"/>
      <c r="AR195" s="29"/>
      <c r="AS195" s="30"/>
      <c r="AV195" s="316"/>
      <c r="AW195" s="316"/>
      <c r="AX195" s="316"/>
      <c r="AY195" s="316"/>
      <c r="AZ195" s="315"/>
    </row>
    <row r="196" spans="3:66" hidden="1" x14ac:dyDescent="0.25">
      <c r="C196" s="171"/>
      <c r="D196" s="171"/>
      <c r="E196" s="152"/>
      <c r="F196" s="171"/>
      <c r="G196" s="171"/>
      <c r="H196" s="22"/>
      <c r="I196" s="172"/>
      <c r="J196" s="172"/>
      <c r="K196" s="171"/>
      <c r="L196" s="172"/>
      <c r="M196" s="172"/>
      <c r="N196" s="172"/>
      <c r="O196" s="172"/>
      <c r="P196" s="23"/>
      <c r="Q196" s="23"/>
      <c r="R196" s="172"/>
      <c r="S196" s="172"/>
      <c r="T196" s="172"/>
      <c r="U196" s="172"/>
      <c r="V196" s="20"/>
      <c r="W196" s="24"/>
      <c r="X196" s="24"/>
      <c r="Y196" s="24"/>
      <c r="Z196" s="24"/>
      <c r="AA196" s="24"/>
      <c r="AB196" s="24"/>
      <c r="AC196" s="24"/>
      <c r="AD196" s="24"/>
      <c r="AE196" s="24"/>
      <c r="AF196" s="24"/>
      <c r="AG196" s="24"/>
      <c r="AH196" s="25"/>
      <c r="AI196" s="26"/>
      <c r="AJ196" s="25"/>
      <c r="AK196" s="31"/>
      <c r="AL196" s="24"/>
      <c r="AM196" s="24"/>
      <c r="AN196" s="24"/>
      <c r="AO196" s="24"/>
      <c r="AP196" s="27"/>
      <c r="AQ196" s="28"/>
      <c r="AR196" s="29"/>
      <c r="AS196" s="30"/>
      <c r="AV196" s="316"/>
      <c r="AW196" s="316"/>
      <c r="AX196" s="316"/>
      <c r="AY196" s="316"/>
      <c r="AZ196" s="315"/>
    </row>
    <row r="197" spans="3:66" hidden="1" x14ac:dyDescent="0.25">
      <c r="C197" s="171"/>
      <c r="D197" s="171"/>
      <c r="E197" s="152"/>
      <c r="F197" s="171"/>
      <c r="G197" s="171"/>
      <c r="H197" s="22"/>
      <c r="I197" s="172"/>
      <c r="J197" s="172"/>
      <c r="K197" s="171"/>
      <c r="L197" s="172"/>
      <c r="M197" s="172"/>
      <c r="N197" s="172"/>
      <c r="O197" s="172"/>
      <c r="P197" s="23"/>
      <c r="Q197" s="23"/>
      <c r="R197" s="172"/>
      <c r="S197" s="172"/>
      <c r="T197" s="172"/>
      <c r="U197" s="172"/>
      <c r="V197" s="20"/>
      <c r="W197" s="24"/>
      <c r="X197" s="24"/>
      <c r="Y197" s="24"/>
      <c r="Z197" s="24"/>
      <c r="AA197" s="24"/>
      <c r="AB197" s="24"/>
      <c r="AC197" s="24"/>
      <c r="AD197" s="24"/>
      <c r="AE197" s="24"/>
      <c r="AF197" s="24"/>
      <c r="AG197" s="24"/>
      <c r="AH197" s="25"/>
      <c r="AI197" s="26"/>
      <c r="AJ197" s="25"/>
      <c r="AK197" s="31"/>
      <c r="AL197" s="24"/>
      <c r="AM197" s="24"/>
      <c r="AN197" s="24"/>
      <c r="AO197" s="24"/>
      <c r="AP197" s="27"/>
      <c r="AQ197" s="28"/>
      <c r="AR197" s="29"/>
      <c r="AS197" s="30"/>
      <c r="AV197" s="316"/>
      <c r="AW197" s="316"/>
      <c r="AX197" s="316"/>
      <c r="AY197" s="316"/>
      <c r="AZ197" s="315"/>
    </row>
    <row r="198" spans="3:66" hidden="1" x14ac:dyDescent="0.25">
      <c r="C198" s="171"/>
      <c r="D198" s="171"/>
      <c r="E198" s="152"/>
      <c r="F198" s="171"/>
      <c r="G198" s="171"/>
      <c r="H198" s="22"/>
      <c r="I198" s="172"/>
      <c r="J198" s="172"/>
      <c r="K198" s="171"/>
      <c r="L198" s="172"/>
      <c r="M198" s="172"/>
      <c r="N198" s="172"/>
      <c r="O198" s="172"/>
      <c r="P198" s="23"/>
      <c r="Q198" s="23"/>
      <c r="R198" s="172"/>
      <c r="S198" s="172"/>
      <c r="T198" s="172"/>
      <c r="U198" s="172"/>
      <c r="V198" s="20"/>
      <c r="W198" s="24"/>
      <c r="X198" s="24"/>
      <c r="Y198" s="24"/>
      <c r="Z198" s="24"/>
      <c r="AA198" s="24"/>
      <c r="AB198" s="24"/>
      <c r="AC198" s="24"/>
      <c r="AD198" s="24"/>
      <c r="AE198" s="24"/>
      <c r="AF198" s="24"/>
      <c r="AG198" s="24"/>
      <c r="AH198" s="25"/>
      <c r="AI198" s="26"/>
      <c r="AJ198" s="25"/>
      <c r="AK198" s="31"/>
      <c r="AL198" s="24"/>
      <c r="AM198" s="24"/>
      <c r="AN198" s="24"/>
      <c r="AO198" s="24"/>
      <c r="AP198" s="27"/>
      <c r="AQ198" s="28"/>
      <c r="AR198" s="29"/>
      <c r="AS198" s="30"/>
      <c r="AV198" s="316"/>
      <c r="AW198" s="316"/>
      <c r="AX198" s="316"/>
      <c r="AY198" s="316"/>
      <c r="AZ198" s="315"/>
      <c r="BJ198" s="180"/>
      <c r="BK198" s="180"/>
      <c r="BL198" s="180"/>
      <c r="BM198" s="180"/>
      <c r="BN198" s="180"/>
    </row>
    <row r="199" spans="3:66" hidden="1" x14ac:dyDescent="0.25">
      <c r="C199" s="171"/>
      <c r="D199" s="131"/>
      <c r="E199" s="152"/>
      <c r="F199" s="171"/>
      <c r="G199" s="171"/>
      <c r="H199" s="22"/>
      <c r="I199" s="172"/>
      <c r="J199" s="172"/>
      <c r="K199" s="171"/>
      <c r="L199" s="172"/>
      <c r="M199" s="172"/>
      <c r="N199" s="172"/>
      <c r="O199" s="172"/>
      <c r="P199" s="23"/>
      <c r="Q199" s="23"/>
      <c r="R199" s="172"/>
      <c r="S199" s="172"/>
      <c r="T199" s="172"/>
      <c r="U199" s="172"/>
      <c r="V199" s="20"/>
      <c r="W199" s="24"/>
      <c r="X199" s="24"/>
      <c r="Y199" s="24"/>
      <c r="Z199" s="24"/>
      <c r="AA199" s="24"/>
      <c r="AB199" s="24"/>
      <c r="AC199" s="24"/>
      <c r="AD199" s="24"/>
      <c r="AE199" s="24"/>
      <c r="AF199" s="24"/>
      <c r="AG199" s="24"/>
      <c r="AH199" s="25"/>
      <c r="AI199" s="26"/>
      <c r="AJ199" s="25"/>
      <c r="AK199" s="31"/>
      <c r="AL199" s="24"/>
      <c r="AM199" s="24"/>
      <c r="AN199" s="24"/>
      <c r="AO199" s="24"/>
      <c r="AP199" s="27"/>
      <c r="AQ199" s="28"/>
      <c r="AR199" s="29"/>
      <c r="AS199" s="30"/>
      <c r="AV199" s="316"/>
      <c r="AW199" s="316"/>
      <c r="AX199" s="316"/>
      <c r="AY199" s="316"/>
      <c r="AZ199" s="315"/>
    </row>
    <row r="200" spans="3:66" hidden="1" x14ac:dyDescent="0.25">
      <c r="C200" s="171"/>
      <c r="D200" s="131"/>
      <c r="E200" s="152"/>
      <c r="F200" s="171"/>
      <c r="G200" s="171"/>
      <c r="H200" s="22"/>
      <c r="I200" s="172"/>
      <c r="J200" s="172"/>
      <c r="K200" s="171"/>
      <c r="L200" s="172"/>
      <c r="M200" s="172"/>
      <c r="N200" s="172"/>
      <c r="O200" s="172"/>
      <c r="P200" s="23"/>
      <c r="Q200" s="23"/>
      <c r="R200" s="172"/>
      <c r="S200" s="172"/>
      <c r="T200" s="172"/>
      <c r="U200" s="172"/>
      <c r="V200" s="20"/>
      <c r="W200" s="24"/>
      <c r="X200" s="24"/>
      <c r="Y200" s="24"/>
      <c r="Z200" s="24"/>
      <c r="AA200" s="24"/>
      <c r="AB200" s="24"/>
      <c r="AC200" s="24"/>
      <c r="AD200" s="24"/>
      <c r="AE200" s="24"/>
      <c r="AF200" s="24"/>
      <c r="AG200" s="24"/>
      <c r="AH200" s="25"/>
      <c r="AI200" s="26"/>
      <c r="AJ200" s="25"/>
      <c r="AK200" s="31"/>
      <c r="AL200" s="24"/>
      <c r="AM200" s="24"/>
      <c r="AN200" s="24"/>
      <c r="AO200" s="24"/>
      <c r="AP200" s="27"/>
      <c r="AQ200" s="28"/>
      <c r="AR200" s="29"/>
      <c r="AS200" s="30"/>
      <c r="AV200" s="316"/>
      <c r="AW200" s="316"/>
      <c r="AX200" s="316"/>
      <c r="AY200" s="316"/>
      <c r="AZ200" s="315"/>
    </row>
    <row r="201" spans="3:66" hidden="1" x14ac:dyDescent="0.25">
      <c r="C201" s="171"/>
      <c r="D201" s="171"/>
      <c r="E201" s="152"/>
      <c r="F201" s="171"/>
      <c r="G201" s="171"/>
      <c r="H201" s="22"/>
      <c r="I201" s="172"/>
      <c r="J201" s="172"/>
      <c r="K201" s="171"/>
      <c r="L201" s="172"/>
      <c r="M201" s="172"/>
      <c r="N201" s="172"/>
      <c r="O201" s="172"/>
      <c r="P201" s="23"/>
      <c r="Q201" s="23"/>
      <c r="R201" s="172"/>
      <c r="S201" s="172"/>
      <c r="T201" s="172"/>
      <c r="U201" s="172"/>
      <c r="V201" s="20"/>
      <c r="W201" s="24"/>
      <c r="X201" s="24"/>
      <c r="Y201" s="24"/>
      <c r="Z201" s="24"/>
      <c r="AA201" s="24"/>
      <c r="AB201" s="24"/>
      <c r="AC201" s="24"/>
      <c r="AD201" s="24"/>
      <c r="AE201" s="24"/>
      <c r="AF201" s="24"/>
      <c r="AG201" s="24"/>
      <c r="AH201" s="25"/>
      <c r="AI201" s="26"/>
      <c r="AJ201" s="25"/>
      <c r="AK201" s="31"/>
      <c r="AL201" s="24"/>
      <c r="AM201" s="24"/>
      <c r="AN201" s="24"/>
      <c r="AO201" s="24"/>
      <c r="AP201" s="27"/>
      <c r="AQ201" s="28"/>
      <c r="AR201" s="29"/>
      <c r="AS201" s="30"/>
      <c r="AV201" s="316"/>
      <c r="AW201" s="316"/>
      <c r="AX201" s="316"/>
      <c r="AY201" s="316"/>
      <c r="AZ201" s="315"/>
    </row>
    <row r="202" spans="3:66" hidden="1" x14ac:dyDescent="0.25">
      <c r="C202" s="171"/>
      <c r="D202" s="171"/>
      <c r="E202" s="152"/>
      <c r="F202" s="171"/>
      <c r="G202" s="171"/>
      <c r="H202" s="22"/>
      <c r="I202" s="172"/>
      <c r="J202" s="172"/>
      <c r="K202" s="171"/>
      <c r="L202" s="172"/>
      <c r="M202" s="172"/>
      <c r="N202" s="172"/>
      <c r="O202" s="172"/>
      <c r="P202" s="23"/>
      <c r="Q202" s="23"/>
      <c r="R202" s="172"/>
      <c r="S202" s="172"/>
      <c r="T202" s="172"/>
      <c r="U202" s="172"/>
      <c r="V202" s="20"/>
      <c r="W202" s="24"/>
      <c r="X202" s="24"/>
      <c r="Y202" s="24"/>
      <c r="Z202" s="24"/>
      <c r="AA202" s="24"/>
      <c r="AB202" s="24"/>
      <c r="AC202" s="24"/>
      <c r="AD202" s="24"/>
      <c r="AE202" s="24"/>
      <c r="AF202" s="24"/>
      <c r="AG202" s="24"/>
      <c r="AH202" s="25"/>
      <c r="AI202" s="26"/>
      <c r="AJ202" s="25"/>
      <c r="AK202" s="31"/>
      <c r="AL202" s="24"/>
      <c r="AM202" s="24"/>
      <c r="AN202" s="24"/>
      <c r="AO202" s="24"/>
      <c r="AP202" s="27"/>
      <c r="AQ202" s="28"/>
      <c r="AR202" s="29"/>
      <c r="AS202" s="30"/>
      <c r="AV202" s="316"/>
      <c r="AW202" s="316"/>
      <c r="AX202" s="316"/>
      <c r="AY202" s="316"/>
      <c r="AZ202" s="315"/>
    </row>
    <row r="203" spans="3:66" hidden="1" x14ac:dyDescent="0.25">
      <c r="C203" s="171"/>
      <c r="D203" s="171"/>
      <c r="E203" s="152"/>
      <c r="F203" s="171"/>
      <c r="G203" s="171"/>
      <c r="H203" s="22"/>
      <c r="I203" s="172"/>
      <c r="J203" s="172"/>
      <c r="K203" s="171"/>
      <c r="L203" s="172"/>
      <c r="M203" s="172"/>
      <c r="N203" s="172"/>
      <c r="O203" s="172"/>
      <c r="P203" s="23"/>
      <c r="Q203" s="23"/>
      <c r="R203" s="172"/>
      <c r="S203" s="172"/>
      <c r="T203" s="172"/>
      <c r="U203" s="172"/>
      <c r="V203" s="20"/>
      <c r="W203" s="24"/>
      <c r="X203" s="24"/>
      <c r="Y203" s="24"/>
      <c r="Z203" s="24"/>
      <c r="AA203" s="24"/>
      <c r="AB203" s="24"/>
      <c r="AC203" s="24"/>
      <c r="AD203" s="24"/>
      <c r="AE203" s="24"/>
      <c r="AF203" s="24"/>
      <c r="AG203" s="24"/>
      <c r="AH203" s="25"/>
      <c r="AI203" s="26"/>
      <c r="AJ203" s="25"/>
      <c r="AK203" s="31"/>
      <c r="AL203" s="24"/>
      <c r="AM203" s="24"/>
      <c r="AN203" s="24"/>
      <c r="AO203" s="24"/>
      <c r="AP203" s="27"/>
      <c r="AQ203" s="28"/>
      <c r="AR203" s="29"/>
      <c r="AS203" s="30"/>
      <c r="AV203" s="316"/>
      <c r="AW203" s="316"/>
      <c r="AX203" s="316"/>
      <c r="AY203" s="316"/>
      <c r="AZ203" s="315"/>
    </row>
    <row r="204" spans="3:66" hidden="1" x14ac:dyDescent="0.25">
      <c r="C204" s="171"/>
      <c r="D204" s="171"/>
      <c r="E204" s="152"/>
      <c r="F204" s="171"/>
      <c r="G204" s="171"/>
      <c r="H204" s="22"/>
      <c r="I204" s="172"/>
      <c r="J204" s="172"/>
      <c r="K204" s="171"/>
      <c r="L204" s="172"/>
      <c r="M204" s="172"/>
      <c r="N204" s="172"/>
      <c r="O204" s="172"/>
      <c r="P204" s="23"/>
      <c r="Q204" s="23"/>
      <c r="R204" s="172"/>
      <c r="S204" s="172"/>
      <c r="T204" s="172"/>
      <c r="U204" s="172"/>
      <c r="V204" s="20"/>
      <c r="W204" s="24"/>
      <c r="X204" s="24"/>
      <c r="Y204" s="24"/>
      <c r="Z204" s="24"/>
      <c r="AA204" s="24"/>
      <c r="AB204" s="24"/>
      <c r="AC204" s="24"/>
      <c r="AD204" s="24"/>
      <c r="AE204" s="24"/>
      <c r="AF204" s="24"/>
      <c r="AG204" s="24"/>
      <c r="AH204" s="25"/>
      <c r="AI204" s="26"/>
      <c r="AJ204" s="25"/>
      <c r="AK204" s="31"/>
      <c r="AL204" s="24"/>
      <c r="AM204" s="24"/>
      <c r="AN204" s="24"/>
      <c r="AO204" s="24"/>
      <c r="AP204" s="27"/>
      <c r="AQ204" s="28"/>
      <c r="AR204" s="29"/>
      <c r="AS204" s="30"/>
      <c r="AV204" s="316"/>
      <c r="AW204" s="316"/>
      <c r="AX204" s="316"/>
      <c r="AY204" s="316"/>
      <c r="AZ204" s="315"/>
    </row>
    <row r="205" spans="3:66" hidden="1" x14ac:dyDescent="0.25">
      <c r="C205" s="171"/>
      <c r="D205" s="171"/>
      <c r="E205" s="152"/>
      <c r="F205" s="171"/>
      <c r="G205" s="171"/>
      <c r="H205" s="22"/>
      <c r="I205" s="172"/>
      <c r="J205" s="172"/>
      <c r="K205" s="171"/>
      <c r="L205" s="172"/>
      <c r="M205" s="172"/>
      <c r="N205" s="172"/>
      <c r="O205" s="172"/>
      <c r="P205" s="23"/>
      <c r="Q205" s="23"/>
      <c r="R205" s="172"/>
      <c r="S205" s="172"/>
      <c r="T205" s="172"/>
      <c r="U205" s="172"/>
      <c r="V205" s="20"/>
      <c r="W205" s="24"/>
      <c r="X205" s="24"/>
      <c r="Y205" s="24"/>
      <c r="Z205" s="24"/>
      <c r="AA205" s="24"/>
      <c r="AB205" s="24"/>
      <c r="AC205" s="24"/>
      <c r="AD205" s="24"/>
      <c r="AE205" s="24"/>
      <c r="AF205" s="24"/>
      <c r="AG205" s="24"/>
      <c r="AH205" s="25"/>
      <c r="AI205" s="26"/>
      <c r="AJ205" s="25"/>
      <c r="AK205" s="31"/>
      <c r="AL205" s="24"/>
      <c r="AM205" s="24"/>
      <c r="AN205" s="24"/>
      <c r="AO205" s="24"/>
      <c r="AP205" s="27"/>
      <c r="AQ205" s="28"/>
      <c r="AR205" s="29"/>
      <c r="AS205" s="30"/>
      <c r="AV205" s="316"/>
      <c r="AW205" s="316"/>
      <c r="AX205" s="316"/>
      <c r="AY205" s="316"/>
      <c r="AZ205" s="315"/>
    </row>
    <row r="206" spans="3:66" hidden="1" x14ac:dyDescent="0.25">
      <c r="C206" s="171"/>
      <c r="D206" s="171"/>
      <c r="E206" s="152"/>
      <c r="F206" s="171"/>
      <c r="G206" s="171"/>
      <c r="H206" s="22"/>
      <c r="I206" s="172"/>
      <c r="J206" s="172"/>
      <c r="K206" s="171"/>
      <c r="L206" s="172"/>
      <c r="M206" s="172"/>
      <c r="N206" s="172"/>
      <c r="O206" s="172"/>
      <c r="P206" s="23"/>
      <c r="Q206" s="23"/>
      <c r="R206" s="172"/>
      <c r="S206" s="172"/>
      <c r="T206" s="172"/>
      <c r="U206" s="172"/>
      <c r="V206" s="20"/>
      <c r="W206" s="24"/>
      <c r="X206" s="24"/>
      <c r="Y206" s="24"/>
      <c r="Z206" s="24"/>
      <c r="AA206" s="24"/>
      <c r="AB206" s="24"/>
      <c r="AC206" s="24"/>
      <c r="AD206" s="24"/>
      <c r="AE206" s="24"/>
      <c r="AF206" s="24"/>
      <c r="AG206" s="24"/>
      <c r="AH206" s="25"/>
      <c r="AI206" s="26"/>
      <c r="AJ206" s="25"/>
      <c r="AK206" s="31"/>
      <c r="AL206" s="24"/>
      <c r="AM206" s="24"/>
      <c r="AN206" s="24"/>
      <c r="AO206" s="24"/>
      <c r="AP206" s="27"/>
      <c r="AQ206" s="28"/>
      <c r="AR206" s="29"/>
      <c r="AS206" s="30"/>
      <c r="AV206" s="316"/>
      <c r="AW206" s="316"/>
      <c r="AX206" s="316"/>
      <c r="AY206" s="316"/>
      <c r="AZ206" s="315"/>
    </row>
    <row r="207" spans="3:66" hidden="1" x14ac:dyDescent="0.25">
      <c r="C207" s="171"/>
      <c r="D207" s="171"/>
      <c r="E207" s="152"/>
      <c r="F207" s="171"/>
      <c r="G207" s="171"/>
      <c r="H207" s="22"/>
      <c r="I207" s="172"/>
      <c r="J207" s="172"/>
      <c r="K207" s="171"/>
      <c r="L207" s="172"/>
      <c r="M207" s="172"/>
      <c r="N207" s="172"/>
      <c r="O207" s="172"/>
      <c r="P207" s="23"/>
      <c r="Q207" s="23"/>
      <c r="R207" s="172"/>
      <c r="S207" s="172"/>
      <c r="T207" s="172"/>
      <c r="U207" s="172"/>
      <c r="V207" s="20"/>
      <c r="W207" s="24"/>
      <c r="X207" s="24"/>
      <c r="Y207" s="24"/>
      <c r="Z207" s="24"/>
      <c r="AA207" s="24"/>
      <c r="AB207" s="24"/>
      <c r="AC207" s="24"/>
      <c r="AD207" s="24"/>
      <c r="AE207" s="24"/>
      <c r="AF207" s="24"/>
      <c r="AG207" s="24"/>
      <c r="AH207" s="25"/>
      <c r="AI207" s="26"/>
      <c r="AJ207" s="25"/>
      <c r="AK207" s="31"/>
      <c r="AL207" s="24"/>
      <c r="AM207" s="24"/>
      <c r="AN207" s="24"/>
      <c r="AO207" s="24"/>
      <c r="AP207" s="27"/>
      <c r="AQ207" s="28"/>
      <c r="AR207" s="29"/>
      <c r="AS207" s="30"/>
      <c r="AV207" s="316"/>
      <c r="AW207" s="316"/>
      <c r="AX207" s="316"/>
      <c r="AY207" s="316"/>
      <c r="AZ207" s="315"/>
    </row>
    <row r="208" spans="3:66" hidden="1" x14ac:dyDescent="0.25">
      <c r="C208" s="171"/>
      <c r="D208" s="171"/>
      <c r="E208" s="152"/>
      <c r="F208" s="171"/>
      <c r="G208" s="171"/>
      <c r="H208" s="22"/>
      <c r="I208" s="172"/>
      <c r="J208" s="172"/>
      <c r="K208" s="171"/>
      <c r="L208" s="172"/>
      <c r="M208" s="172"/>
      <c r="N208" s="172"/>
      <c r="O208" s="172"/>
      <c r="P208" s="23"/>
      <c r="Q208" s="23"/>
      <c r="R208" s="172"/>
      <c r="S208" s="172"/>
      <c r="T208" s="172"/>
      <c r="U208" s="172"/>
      <c r="V208" s="20"/>
      <c r="W208" s="24"/>
      <c r="X208" s="24"/>
      <c r="Y208" s="24"/>
      <c r="Z208" s="24"/>
      <c r="AA208" s="24"/>
      <c r="AB208" s="24"/>
      <c r="AC208" s="24"/>
      <c r="AD208" s="24"/>
      <c r="AE208" s="24"/>
      <c r="AF208" s="24"/>
      <c r="AG208" s="24"/>
      <c r="AH208" s="25"/>
      <c r="AI208" s="26"/>
      <c r="AJ208" s="25"/>
      <c r="AK208" s="31"/>
      <c r="AL208" s="24"/>
      <c r="AM208" s="24"/>
      <c r="AN208" s="24"/>
      <c r="AO208" s="24"/>
      <c r="AP208" s="27"/>
      <c r="AQ208" s="28"/>
      <c r="AR208" s="29"/>
      <c r="AS208" s="30"/>
      <c r="AV208" s="316"/>
      <c r="AW208" s="316"/>
      <c r="AX208" s="316"/>
      <c r="AY208" s="316"/>
      <c r="AZ208" s="315"/>
    </row>
    <row r="209" spans="3:52" hidden="1" x14ac:dyDescent="0.25">
      <c r="C209" s="171"/>
      <c r="D209" s="171"/>
      <c r="E209" s="152"/>
      <c r="F209" s="171"/>
      <c r="G209" s="171"/>
      <c r="H209" s="22"/>
      <c r="I209" s="172"/>
      <c r="J209" s="172"/>
      <c r="K209" s="171"/>
      <c r="L209" s="172"/>
      <c r="M209" s="172"/>
      <c r="N209" s="172"/>
      <c r="O209" s="172"/>
      <c r="P209" s="23"/>
      <c r="Q209" s="23"/>
      <c r="R209" s="172"/>
      <c r="S209" s="172"/>
      <c r="T209" s="172"/>
      <c r="U209" s="172"/>
      <c r="V209" s="20"/>
      <c r="W209" s="24"/>
      <c r="X209" s="24"/>
      <c r="Y209" s="24"/>
      <c r="Z209" s="24"/>
      <c r="AA209" s="24"/>
      <c r="AB209" s="24"/>
      <c r="AC209" s="24"/>
      <c r="AD209" s="24"/>
      <c r="AE209" s="24"/>
      <c r="AF209" s="24"/>
      <c r="AG209" s="24"/>
      <c r="AH209" s="25"/>
      <c r="AI209" s="26"/>
      <c r="AJ209" s="25"/>
      <c r="AK209" s="31"/>
      <c r="AL209" s="24"/>
      <c r="AM209" s="24"/>
      <c r="AN209" s="24"/>
      <c r="AO209" s="24"/>
      <c r="AP209" s="27"/>
      <c r="AQ209" s="28"/>
      <c r="AR209" s="29"/>
      <c r="AS209" s="30"/>
      <c r="AV209" s="316"/>
      <c r="AW209" s="316"/>
      <c r="AX209" s="316"/>
      <c r="AY209" s="316"/>
      <c r="AZ209" s="315"/>
    </row>
    <row r="210" spans="3:52" hidden="1" x14ac:dyDescent="0.25">
      <c r="C210" s="171"/>
      <c r="D210" s="171"/>
      <c r="E210" s="152"/>
      <c r="F210" s="171"/>
      <c r="G210" s="171"/>
      <c r="H210" s="22"/>
      <c r="I210" s="172"/>
      <c r="J210" s="172"/>
      <c r="K210" s="171"/>
      <c r="L210" s="172"/>
      <c r="M210" s="172"/>
      <c r="N210" s="172"/>
      <c r="O210" s="172"/>
      <c r="P210" s="23"/>
      <c r="Q210" s="23"/>
      <c r="R210" s="172"/>
      <c r="S210" s="172"/>
      <c r="T210" s="172"/>
      <c r="U210" s="172"/>
      <c r="V210" s="20"/>
      <c r="W210" s="24"/>
      <c r="X210" s="24"/>
      <c r="Y210" s="24"/>
      <c r="Z210" s="24"/>
      <c r="AA210" s="24"/>
      <c r="AB210" s="24"/>
      <c r="AC210" s="24"/>
      <c r="AD210" s="24"/>
      <c r="AE210" s="24"/>
      <c r="AF210" s="24"/>
      <c r="AG210" s="24"/>
      <c r="AH210" s="25"/>
      <c r="AI210" s="26"/>
      <c r="AJ210" s="25"/>
      <c r="AK210" s="31"/>
      <c r="AL210" s="24"/>
      <c r="AM210" s="24"/>
      <c r="AN210" s="24"/>
      <c r="AO210" s="24"/>
      <c r="AP210" s="27"/>
      <c r="AQ210" s="28"/>
      <c r="AR210" s="29"/>
      <c r="AS210" s="30"/>
      <c r="AV210" s="316"/>
      <c r="AW210" s="316"/>
      <c r="AX210" s="316"/>
      <c r="AY210" s="316"/>
      <c r="AZ210" s="315"/>
    </row>
    <row r="211" spans="3:52" hidden="1" x14ac:dyDescent="0.25">
      <c r="C211" s="171"/>
      <c r="D211" s="171"/>
      <c r="E211" s="152"/>
      <c r="F211" s="171"/>
      <c r="G211" s="171"/>
      <c r="H211" s="22"/>
      <c r="I211" s="172"/>
      <c r="J211" s="172"/>
      <c r="K211" s="171"/>
      <c r="L211" s="172"/>
      <c r="M211" s="172"/>
      <c r="N211" s="172"/>
      <c r="O211" s="172"/>
      <c r="P211" s="23"/>
      <c r="Q211" s="23"/>
      <c r="R211" s="172"/>
      <c r="S211" s="172"/>
      <c r="T211" s="172"/>
      <c r="U211" s="172"/>
      <c r="V211" s="20"/>
      <c r="W211" s="24"/>
      <c r="X211" s="24"/>
      <c r="Y211" s="24"/>
      <c r="Z211" s="24"/>
      <c r="AA211" s="24"/>
      <c r="AB211" s="24"/>
      <c r="AC211" s="24"/>
      <c r="AD211" s="24"/>
      <c r="AE211" s="24"/>
      <c r="AF211" s="24"/>
      <c r="AG211" s="24"/>
      <c r="AH211" s="25"/>
      <c r="AI211" s="26"/>
      <c r="AJ211" s="25"/>
      <c r="AK211" s="31"/>
      <c r="AL211" s="24"/>
      <c r="AM211" s="24"/>
      <c r="AN211" s="24"/>
      <c r="AO211" s="24"/>
      <c r="AP211" s="27"/>
      <c r="AQ211" s="28"/>
      <c r="AR211" s="29"/>
      <c r="AS211" s="30"/>
      <c r="AV211" s="316"/>
      <c r="AW211" s="316"/>
      <c r="AX211" s="316"/>
      <c r="AY211" s="316"/>
      <c r="AZ211" s="315"/>
    </row>
    <row r="212" spans="3:52" hidden="1" x14ac:dyDescent="0.25">
      <c r="C212" s="171"/>
      <c r="D212" s="171"/>
      <c r="E212" s="152"/>
      <c r="F212" s="171"/>
      <c r="G212" s="171"/>
      <c r="H212" s="22"/>
      <c r="I212" s="172"/>
      <c r="J212" s="172"/>
      <c r="K212" s="171"/>
      <c r="L212" s="172"/>
      <c r="M212" s="172"/>
      <c r="N212" s="172"/>
      <c r="O212" s="172"/>
      <c r="P212" s="23"/>
      <c r="Q212" s="23"/>
      <c r="R212" s="172"/>
      <c r="S212" s="172"/>
      <c r="T212" s="172"/>
      <c r="U212" s="172"/>
      <c r="V212" s="20"/>
      <c r="W212" s="24"/>
      <c r="X212" s="24"/>
      <c r="Y212" s="24"/>
      <c r="Z212" s="24"/>
      <c r="AA212" s="24"/>
      <c r="AB212" s="24"/>
      <c r="AC212" s="24"/>
      <c r="AD212" s="24"/>
      <c r="AE212" s="24"/>
      <c r="AF212" s="24"/>
      <c r="AG212" s="24"/>
      <c r="AH212" s="25"/>
      <c r="AI212" s="26"/>
      <c r="AJ212" s="25"/>
      <c r="AK212" s="31"/>
      <c r="AL212" s="24"/>
      <c r="AM212" s="24"/>
      <c r="AN212" s="24"/>
      <c r="AO212" s="24"/>
      <c r="AP212" s="27"/>
      <c r="AQ212" s="28"/>
      <c r="AR212" s="29"/>
      <c r="AS212" s="30"/>
      <c r="AV212" s="316"/>
      <c r="AW212" s="316"/>
      <c r="AX212" s="316"/>
      <c r="AY212" s="316"/>
      <c r="AZ212" s="315"/>
    </row>
    <row r="213" spans="3:52" hidden="1" x14ac:dyDescent="0.25">
      <c r="C213" s="171"/>
      <c r="D213" s="171"/>
      <c r="E213" s="152"/>
      <c r="F213" s="171"/>
      <c r="G213" s="171"/>
      <c r="H213" s="22"/>
      <c r="I213" s="172"/>
      <c r="J213" s="172"/>
      <c r="K213" s="171"/>
      <c r="L213" s="172"/>
      <c r="M213" s="172"/>
      <c r="N213" s="172"/>
      <c r="O213" s="172"/>
      <c r="P213" s="23"/>
      <c r="Q213" s="23"/>
      <c r="R213" s="172"/>
      <c r="S213" s="172"/>
      <c r="T213" s="172"/>
      <c r="U213" s="172"/>
      <c r="V213" s="20"/>
      <c r="W213" s="24"/>
      <c r="X213" s="24"/>
      <c r="Y213" s="24"/>
      <c r="Z213" s="24"/>
      <c r="AA213" s="24"/>
      <c r="AB213" s="24"/>
      <c r="AC213" s="24"/>
      <c r="AD213" s="24"/>
      <c r="AE213" s="24"/>
      <c r="AF213" s="24"/>
      <c r="AG213" s="24"/>
      <c r="AH213" s="25"/>
      <c r="AI213" s="26"/>
      <c r="AJ213" s="25"/>
      <c r="AK213" s="31"/>
      <c r="AL213" s="24"/>
      <c r="AM213" s="24"/>
      <c r="AN213" s="24"/>
      <c r="AO213" s="24"/>
      <c r="AP213" s="27"/>
      <c r="AQ213" s="28"/>
      <c r="AR213" s="29"/>
      <c r="AS213" s="30"/>
      <c r="AV213" s="316"/>
      <c r="AW213" s="316"/>
      <c r="AX213" s="316"/>
      <c r="AY213" s="316"/>
      <c r="AZ213" s="315"/>
    </row>
    <row r="214" spans="3:52" hidden="1" x14ac:dyDescent="0.25">
      <c r="C214" s="171"/>
      <c r="D214" s="171"/>
      <c r="E214" s="152"/>
      <c r="F214" s="171"/>
      <c r="G214" s="171"/>
      <c r="H214" s="22"/>
      <c r="I214" s="172"/>
      <c r="J214" s="172"/>
      <c r="K214" s="171"/>
      <c r="L214" s="172"/>
      <c r="M214" s="172"/>
      <c r="N214" s="172"/>
      <c r="O214" s="172"/>
      <c r="P214" s="23"/>
      <c r="Q214" s="23"/>
      <c r="R214" s="172"/>
      <c r="S214" s="172"/>
      <c r="T214" s="172"/>
      <c r="U214" s="172"/>
      <c r="V214" s="20"/>
      <c r="W214" s="24"/>
      <c r="X214" s="24"/>
      <c r="Y214" s="24"/>
      <c r="Z214" s="24"/>
      <c r="AA214" s="24"/>
      <c r="AB214" s="24"/>
      <c r="AC214" s="24"/>
      <c r="AD214" s="24"/>
      <c r="AE214" s="24"/>
      <c r="AF214" s="24"/>
      <c r="AG214" s="24"/>
      <c r="AH214" s="25"/>
      <c r="AI214" s="26"/>
      <c r="AJ214" s="25"/>
      <c r="AK214" s="31"/>
      <c r="AL214" s="24"/>
      <c r="AM214" s="24"/>
      <c r="AN214" s="24"/>
      <c r="AO214" s="24"/>
      <c r="AP214" s="27"/>
      <c r="AQ214" s="28"/>
      <c r="AR214" s="29"/>
      <c r="AS214" s="30"/>
      <c r="AV214" s="316"/>
      <c r="AW214" s="316"/>
      <c r="AX214" s="316"/>
      <c r="AY214" s="316"/>
      <c r="AZ214" s="315"/>
    </row>
    <row r="215" spans="3:52" hidden="1" x14ac:dyDescent="0.25">
      <c r="C215" s="171"/>
      <c r="D215" s="171"/>
      <c r="E215" s="152"/>
      <c r="F215" s="171"/>
      <c r="G215" s="171"/>
      <c r="H215" s="22"/>
      <c r="I215" s="172"/>
      <c r="J215" s="172"/>
      <c r="K215" s="171"/>
      <c r="L215" s="172"/>
      <c r="M215" s="172"/>
      <c r="N215" s="172"/>
      <c r="O215" s="172"/>
      <c r="P215" s="23"/>
      <c r="Q215" s="23"/>
      <c r="R215" s="172"/>
      <c r="S215" s="172"/>
      <c r="T215" s="172"/>
      <c r="U215" s="172"/>
      <c r="V215" s="20"/>
      <c r="W215" s="24"/>
      <c r="X215" s="24"/>
      <c r="Y215" s="24"/>
      <c r="Z215" s="24"/>
      <c r="AA215" s="24"/>
      <c r="AB215" s="24"/>
      <c r="AC215" s="24"/>
      <c r="AD215" s="24"/>
      <c r="AE215" s="24"/>
      <c r="AF215" s="24"/>
      <c r="AG215" s="24"/>
      <c r="AH215" s="25"/>
      <c r="AI215" s="26"/>
      <c r="AJ215" s="25"/>
      <c r="AK215" s="31"/>
      <c r="AL215" s="24"/>
      <c r="AM215" s="24"/>
      <c r="AN215" s="24"/>
      <c r="AO215" s="24"/>
      <c r="AP215" s="27"/>
      <c r="AQ215" s="28"/>
      <c r="AR215" s="29"/>
      <c r="AS215" s="30"/>
      <c r="AV215" s="316"/>
      <c r="AW215" s="316"/>
      <c r="AX215" s="316"/>
      <c r="AY215" s="316"/>
      <c r="AZ215" s="315"/>
    </row>
    <row r="216" spans="3:52" hidden="1" x14ac:dyDescent="0.25">
      <c r="C216" s="171"/>
      <c r="D216" s="171"/>
      <c r="E216" s="152"/>
      <c r="F216" s="171"/>
      <c r="G216" s="195"/>
      <c r="H216" s="22"/>
      <c r="I216" s="172"/>
      <c r="J216" s="172"/>
      <c r="K216" s="171"/>
      <c r="L216" s="172"/>
      <c r="M216" s="172"/>
      <c r="N216" s="172"/>
      <c r="O216" s="172"/>
      <c r="P216" s="23"/>
      <c r="Q216" s="23"/>
      <c r="R216" s="172"/>
      <c r="S216" s="172"/>
      <c r="T216" s="172"/>
      <c r="U216" s="172"/>
      <c r="V216" s="20"/>
      <c r="W216" s="24"/>
      <c r="X216" s="24"/>
      <c r="Y216" s="24"/>
      <c r="Z216" s="24"/>
      <c r="AA216" s="24"/>
      <c r="AB216" s="24"/>
      <c r="AC216" s="24"/>
      <c r="AD216" s="24"/>
      <c r="AE216" s="24"/>
      <c r="AF216" s="24"/>
      <c r="AG216" s="24"/>
      <c r="AH216" s="25"/>
      <c r="AI216" s="26"/>
      <c r="AJ216" s="25"/>
      <c r="AK216" s="31"/>
      <c r="AL216" s="24"/>
      <c r="AM216" s="24"/>
      <c r="AN216" s="24"/>
      <c r="AO216" s="24"/>
      <c r="AP216" s="27"/>
      <c r="AQ216" s="28"/>
      <c r="AR216" s="29"/>
      <c r="AS216" s="30"/>
      <c r="AV216" s="316"/>
      <c r="AW216" s="316"/>
      <c r="AX216" s="316"/>
      <c r="AY216" s="316"/>
      <c r="AZ216" s="315"/>
    </row>
    <row r="217" spans="3:52" hidden="1" x14ac:dyDescent="0.25">
      <c r="C217" s="171"/>
      <c r="D217" s="171"/>
      <c r="E217" s="152"/>
      <c r="F217" s="171"/>
      <c r="G217" s="195"/>
      <c r="H217" s="22"/>
      <c r="I217" s="172"/>
      <c r="J217" s="172"/>
      <c r="K217" s="171"/>
      <c r="L217" s="172"/>
      <c r="M217" s="172"/>
      <c r="N217" s="172"/>
      <c r="O217" s="172"/>
      <c r="P217" s="23"/>
      <c r="Q217" s="23"/>
      <c r="R217" s="172"/>
      <c r="S217" s="172"/>
      <c r="T217" s="172"/>
      <c r="U217" s="172"/>
      <c r="V217" s="20"/>
      <c r="W217" s="24"/>
      <c r="X217" s="24"/>
      <c r="Y217" s="24"/>
      <c r="Z217" s="24"/>
      <c r="AA217" s="24"/>
      <c r="AB217" s="24"/>
      <c r="AC217" s="24"/>
      <c r="AD217" s="24"/>
      <c r="AE217" s="24"/>
      <c r="AF217" s="24"/>
      <c r="AG217" s="24"/>
      <c r="AH217" s="25"/>
      <c r="AI217" s="26"/>
      <c r="AJ217" s="25"/>
      <c r="AK217" s="31"/>
      <c r="AL217" s="24"/>
      <c r="AM217" s="24"/>
      <c r="AN217" s="24"/>
      <c r="AO217" s="24"/>
      <c r="AP217" s="27"/>
      <c r="AQ217" s="28"/>
      <c r="AR217" s="29"/>
      <c r="AS217" s="30"/>
      <c r="AV217" s="316"/>
      <c r="AW217" s="316"/>
      <c r="AX217" s="316"/>
      <c r="AY217" s="316"/>
      <c r="AZ217" s="315"/>
    </row>
    <row r="218" spans="3:52" hidden="1" x14ac:dyDescent="0.25">
      <c r="C218" s="171"/>
      <c r="D218" s="171"/>
      <c r="E218" s="152"/>
      <c r="F218" s="171"/>
      <c r="G218" s="195"/>
      <c r="H218" s="22"/>
      <c r="I218" s="172"/>
      <c r="J218" s="172"/>
      <c r="K218" s="171"/>
      <c r="L218" s="172"/>
      <c r="M218" s="172"/>
      <c r="N218" s="172"/>
      <c r="O218" s="172"/>
      <c r="P218" s="23"/>
      <c r="Q218" s="23"/>
      <c r="R218" s="172"/>
      <c r="S218" s="172"/>
      <c r="T218" s="172"/>
      <c r="U218" s="172"/>
      <c r="V218" s="20"/>
      <c r="W218" s="24"/>
      <c r="X218" s="24"/>
      <c r="Y218" s="24"/>
      <c r="Z218" s="24"/>
      <c r="AA218" s="24"/>
      <c r="AB218" s="24"/>
      <c r="AC218" s="24"/>
      <c r="AD218" s="24"/>
      <c r="AE218" s="24"/>
      <c r="AF218" s="24"/>
      <c r="AG218" s="24"/>
      <c r="AH218" s="25"/>
      <c r="AI218" s="26"/>
      <c r="AJ218" s="25"/>
      <c r="AK218" s="31"/>
      <c r="AL218" s="24"/>
      <c r="AM218" s="24"/>
      <c r="AN218" s="24"/>
      <c r="AO218" s="24"/>
      <c r="AP218" s="27"/>
      <c r="AQ218" s="28"/>
      <c r="AR218" s="29"/>
      <c r="AS218" s="30"/>
      <c r="AV218" s="316"/>
      <c r="AW218" s="316"/>
      <c r="AX218" s="316"/>
      <c r="AY218" s="316"/>
      <c r="AZ218" s="315"/>
    </row>
    <row r="219" spans="3:52" hidden="1" x14ac:dyDescent="0.25">
      <c r="C219" s="171"/>
      <c r="D219" s="171"/>
      <c r="E219" s="152"/>
      <c r="F219" s="171"/>
      <c r="G219" s="195"/>
      <c r="H219" s="22"/>
      <c r="I219" s="172"/>
      <c r="J219" s="172"/>
      <c r="K219" s="171"/>
      <c r="L219" s="172"/>
      <c r="M219" s="172"/>
      <c r="N219" s="172"/>
      <c r="O219" s="172"/>
      <c r="P219" s="23"/>
      <c r="Q219" s="23"/>
      <c r="R219" s="172"/>
      <c r="S219" s="172"/>
      <c r="T219" s="172"/>
      <c r="U219" s="172"/>
      <c r="V219" s="20"/>
      <c r="W219" s="24"/>
      <c r="X219" s="24"/>
      <c r="Y219" s="24"/>
      <c r="Z219" s="24"/>
      <c r="AA219" s="24"/>
      <c r="AB219" s="24"/>
      <c r="AC219" s="24"/>
      <c r="AD219" s="24"/>
      <c r="AE219" s="24"/>
      <c r="AF219" s="24"/>
      <c r="AG219" s="24"/>
      <c r="AH219" s="25"/>
      <c r="AI219" s="26"/>
      <c r="AJ219" s="25"/>
      <c r="AK219" s="31"/>
      <c r="AL219" s="24"/>
      <c r="AM219" s="24"/>
      <c r="AN219" s="24"/>
      <c r="AO219" s="24"/>
      <c r="AP219" s="27"/>
      <c r="AQ219" s="28"/>
      <c r="AR219" s="29"/>
      <c r="AS219" s="30"/>
      <c r="AV219" s="316"/>
      <c r="AW219" s="316"/>
      <c r="AX219" s="316"/>
      <c r="AY219" s="316"/>
      <c r="AZ219" s="315"/>
    </row>
    <row r="220" spans="3:52" hidden="1" x14ac:dyDescent="0.25">
      <c r="C220" s="171"/>
      <c r="D220" s="171"/>
      <c r="E220" s="152"/>
      <c r="F220" s="171"/>
      <c r="G220" s="195"/>
      <c r="H220" s="22"/>
      <c r="I220" s="172"/>
      <c r="J220" s="172"/>
      <c r="K220" s="171"/>
      <c r="L220" s="172"/>
      <c r="M220" s="172"/>
      <c r="N220" s="172"/>
      <c r="O220" s="172"/>
      <c r="P220" s="23"/>
      <c r="Q220" s="23"/>
      <c r="R220" s="172"/>
      <c r="S220" s="172"/>
      <c r="T220" s="172"/>
      <c r="U220" s="172"/>
      <c r="V220" s="20"/>
      <c r="W220" s="24"/>
      <c r="X220" s="24"/>
      <c r="Y220" s="24"/>
      <c r="Z220" s="24"/>
      <c r="AA220" s="24"/>
      <c r="AB220" s="24"/>
      <c r="AC220" s="24"/>
      <c r="AD220" s="24"/>
      <c r="AE220" s="24"/>
      <c r="AF220" s="24"/>
      <c r="AG220" s="24"/>
      <c r="AH220" s="25"/>
      <c r="AI220" s="26"/>
      <c r="AJ220" s="25"/>
      <c r="AK220" s="31"/>
      <c r="AL220" s="24"/>
      <c r="AM220" s="24"/>
      <c r="AN220" s="24"/>
      <c r="AO220" s="24"/>
      <c r="AP220" s="27"/>
      <c r="AQ220" s="28"/>
      <c r="AR220" s="29"/>
      <c r="AS220" s="30"/>
      <c r="AV220" s="316"/>
      <c r="AW220" s="316"/>
      <c r="AX220" s="316"/>
      <c r="AY220" s="316"/>
      <c r="AZ220" s="315"/>
    </row>
    <row r="221" spans="3:52" hidden="1" x14ac:dyDescent="0.25">
      <c r="C221" s="171"/>
      <c r="D221" s="171"/>
      <c r="E221" s="152"/>
      <c r="F221" s="171"/>
      <c r="G221" s="195"/>
      <c r="H221" s="22"/>
      <c r="I221" s="172"/>
      <c r="J221" s="172"/>
      <c r="K221" s="171"/>
      <c r="L221" s="172"/>
      <c r="M221" s="172"/>
      <c r="N221" s="172"/>
      <c r="O221" s="172"/>
      <c r="P221" s="23"/>
      <c r="Q221" s="23"/>
      <c r="R221" s="172"/>
      <c r="S221" s="172"/>
      <c r="T221" s="172"/>
      <c r="U221" s="172"/>
      <c r="V221" s="20"/>
      <c r="W221" s="24"/>
      <c r="X221" s="24"/>
      <c r="Y221" s="24"/>
      <c r="Z221" s="24"/>
      <c r="AA221" s="24"/>
      <c r="AB221" s="24"/>
      <c r="AC221" s="24"/>
      <c r="AD221" s="24"/>
      <c r="AE221" s="24"/>
      <c r="AF221" s="24"/>
      <c r="AG221" s="24"/>
      <c r="AH221" s="25"/>
      <c r="AI221" s="26"/>
      <c r="AJ221" s="25"/>
      <c r="AK221" s="31"/>
      <c r="AL221" s="24"/>
      <c r="AM221" s="24"/>
      <c r="AN221" s="24"/>
      <c r="AO221" s="24"/>
      <c r="AP221" s="27"/>
      <c r="AQ221" s="28"/>
      <c r="AR221" s="29"/>
      <c r="AS221" s="30"/>
      <c r="AV221" s="316"/>
      <c r="AW221" s="316"/>
      <c r="AX221" s="316"/>
      <c r="AY221" s="316"/>
      <c r="AZ221" s="315"/>
    </row>
    <row r="222" spans="3:52" hidden="1" x14ac:dyDescent="0.25">
      <c r="C222" s="171"/>
      <c r="D222" s="171"/>
      <c r="E222" s="152"/>
      <c r="F222" s="171"/>
      <c r="G222" s="195"/>
      <c r="H222" s="22"/>
      <c r="I222" s="172"/>
      <c r="J222" s="172"/>
      <c r="K222" s="171"/>
      <c r="L222" s="172"/>
      <c r="M222" s="172"/>
      <c r="N222" s="172"/>
      <c r="O222" s="172"/>
      <c r="P222" s="23"/>
      <c r="Q222" s="23"/>
      <c r="R222" s="172"/>
      <c r="S222" s="172"/>
      <c r="T222" s="172"/>
      <c r="U222" s="172"/>
      <c r="V222" s="20"/>
      <c r="W222" s="24"/>
      <c r="X222" s="24"/>
      <c r="Y222" s="24"/>
      <c r="Z222" s="24"/>
      <c r="AA222" s="24"/>
      <c r="AB222" s="24"/>
      <c r="AC222" s="24"/>
      <c r="AD222" s="24"/>
      <c r="AE222" s="24"/>
      <c r="AF222" s="24"/>
      <c r="AG222" s="24"/>
      <c r="AH222" s="25"/>
      <c r="AI222" s="26"/>
      <c r="AJ222" s="25"/>
      <c r="AK222" s="31"/>
      <c r="AL222" s="24"/>
      <c r="AM222" s="24"/>
      <c r="AN222" s="24"/>
      <c r="AO222" s="24"/>
      <c r="AP222" s="27"/>
      <c r="AQ222" s="28"/>
      <c r="AR222" s="29"/>
      <c r="AS222" s="30"/>
      <c r="AV222" s="316"/>
      <c r="AW222" s="316"/>
      <c r="AX222" s="316"/>
      <c r="AY222" s="316"/>
      <c r="AZ222" s="315"/>
    </row>
    <row r="223" spans="3:52" hidden="1" x14ac:dyDescent="0.25">
      <c r="C223" s="171"/>
      <c r="D223" s="131"/>
      <c r="E223" s="152"/>
      <c r="F223" s="171"/>
      <c r="G223" s="171"/>
      <c r="H223" s="22"/>
      <c r="I223" s="172"/>
      <c r="J223" s="172"/>
      <c r="K223" s="171"/>
      <c r="L223" s="172"/>
      <c r="M223" s="172"/>
      <c r="N223" s="172"/>
      <c r="O223" s="172"/>
      <c r="P223" s="23"/>
      <c r="Q223" s="23"/>
      <c r="R223" s="172"/>
      <c r="S223" s="172"/>
      <c r="T223" s="172"/>
      <c r="U223" s="172"/>
      <c r="V223" s="20"/>
      <c r="W223" s="24"/>
      <c r="X223" s="24"/>
      <c r="Y223" s="24"/>
      <c r="Z223" s="24"/>
      <c r="AA223" s="24"/>
      <c r="AB223" s="24"/>
      <c r="AC223" s="24"/>
      <c r="AD223" s="24"/>
      <c r="AE223" s="24"/>
      <c r="AF223" s="24"/>
      <c r="AG223" s="24"/>
      <c r="AH223" s="25"/>
      <c r="AI223" s="26"/>
      <c r="AJ223" s="25"/>
      <c r="AK223" s="31"/>
      <c r="AL223" s="24"/>
      <c r="AM223" s="24"/>
      <c r="AN223" s="24"/>
      <c r="AO223" s="24"/>
      <c r="AP223" s="27"/>
      <c r="AQ223" s="28"/>
      <c r="AR223" s="29"/>
      <c r="AS223" s="30"/>
      <c r="AV223" s="316"/>
      <c r="AW223" s="316"/>
      <c r="AX223" s="316"/>
      <c r="AY223" s="316"/>
      <c r="AZ223" s="315"/>
    </row>
    <row r="224" spans="3:52" hidden="1" x14ac:dyDescent="0.25">
      <c r="C224" s="171"/>
      <c r="D224" s="131"/>
      <c r="E224" s="152"/>
      <c r="F224" s="171"/>
      <c r="G224" s="171"/>
      <c r="H224" s="22"/>
      <c r="I224" s="172"/>
      <c r="J224" s="172"/>
      <c r="K224" s="171"/>
      <c r="L224" s="172"/>
      <c r="M224" s="172"/>
      <c r="N224" s="172"/>
      <c r="O224" s="172"/>
      <c r="P224" s="23"/>
      <c r="Q224" s="23"/>
      <c r="R224" s="172"/>
      <c r="S224" s="172"/>
      <c r="T224" s="172"/>
      <c r="U224" s="172"/>
      <c r="V224" s="20"/>
      <c r="W224" s="24"/>
      <c r="X224" s="24"/>
      <c r="Y224" s="24"/>
      <c r="Z224" s="24"/>
      <c r="AA224" s="24"/>
      <c r="AB224" s="24"/>
      <c r="AC224" s="24"/>
      <c r="AD224" s="24"/>
      <c r="AE224" s="24"/>
      <c r="AF224" s="24"/>
      <c r="AG224" s="24"/>
      <c r="AH224" s="25"/>
      <c r="AI224" s="26"/>
      <c r="AJ224" s="25"/>
      <c r="AK224" s="31"/>
      <c r="AL224" s="24"/>
      <c r="AM224" s="24"/>
      <c r="AN224" s="24"/>
      <c r="AO224" s="24"/>
      <c r="AP224" s="27"/>
      <c r="AQ224" s="28"/>
      <c r="AR224" s="29"/>
      <c r="AS224" s="30"/>
      <c r="AV224" s="316"/>
      <c r="AW224" s="316"/>
      <c r="AX224" s="316"/>
      <c r="AY224" s="316"/>
      <c r="AZ224" s="315"/>
    </row>
    <row r="225" spans="3:52" hidden="1" x14ac:dyDescent="0.25">
      <c r="C225" s="171"/>
      <c r="D225" s="171"/>
      <c r="E225" s="152"/>
      <c r="F225" s="171"/>
      <c r="G225" s="171"/>
      <c r="H225" s="22"/>
      <c r="I225" s="172"/>
      <c r="J225" s="172"/>
      <c r="K225" s="171"/>
      <c r="L225" s="172"/>
      <c r="M225" s="172"/>
      <c r="N225" s="172"/>
      <c r="O225" s="172"/>
      <c r="P225" s="23"/>
      <c r="Q225" s="23"/>
      <c r="R225" s="172"/>
      <c r="S225" s="172"/>
      <c r="T225" s="172"/>
      <c r="U225" s="172"/>
      <c r="V225" s="20"/>
      <c r="W225" s="24"/>
      <c r="X225" s="24"/>
      <c r="Y225" s="24"/>
      <c r="Z225" s="24"/>
      <c r="AA225" s="24"/>
      <c r="AB225" s="24"/>
      <c r="AC225" s="24"/>
      <c r="AD225" s="24"/>
      <c r="AE225" s="24"/>
      <c r="AF225" s="24"/>
      <c r="AG225" s="24"/>
      <c r="AH225" s="25"/>
      <c r="AI225" s="26"/>
      <c r="AJ225" s="25"/>
      <c r="AK225" s="31"/>
      <c r="AL225" s="24"/>
      <c r="AM225" s="24"/>
      <c r="AN225" s="24"/>
      <c r="AO225" s="24"/>
      <c r="AP225" s="27"/>
      <c r="AQ225" s="28"/>
      <c r="AR225" s="29"/>
      <c r="AS225" s="30"/>
      <c r="AV225" s="316"/>
      <c r="AW225" s="316"/>
      <c r="AX225" s="316"/>
      <c r="AY225" s="316"/>
      <c r="AZ225" s="315"/>
    </row>
    <row r="226" spans="3:52" hidden="1" x14ac:dyDescent="0.25">
      <c r="C226" s="171"/>
      <c r="D226" s="171"/>
      <c r="E226" s="152"/>
      <c r="F226" s="171"/>
      <c r="G226" s="171"/>
      <c r="H226" s="22"/>
      <c r="I226" s="172"/>
      <c r="J226" s="172"/>
      <c r="K226" s="171"/>
      <c r="L226" s="172"/>
      <c r="M226" s="172"/>
      <c r="N226" s="172"/>
      <c r="O226" s="172"/>
      <c r="P226" s="23"/>
      <c r="Q226" s="23"/>
      <c r="R226" s="172"/>
      <c r="S226" s="172"/>
      <c r="T226" s="172"/>
      <c r="U226" s="172"/>
      <c r="V226" s="20"/>
      <c r="W226" s="24"/>
      <c r="X226" s="24"/>
      <c r="Y226" s="24"/>
      <c r="Z226" s="24"/>
      <c r="AA226" s="24"/>
      <c r="AB226" s="24"/>
      <c r="AC226" s="24"/>
      <c r="AD226" s="24"/>
      <c r="AE226" s="24"/>
      <c r="AF226" s="24"/>
      <c r="AG226" s="24"/>
      <c r="AH226" s="25"/>
      <c r="AI226" s="26"/>
      <c r="AJ226" s="25"/>
      <c r="AK226" s="31"/>
      <c r="AL226" s="24"/>
      <c r="AM226" s="24"/>
      <c r="AN226" s="24"/>
      <c r="AO226" s="24"/>
      <c r="AP226" s="27"/>
      <c r="AQ226" s="28"/>
      <c r="AR226" s="29"/>
      <c r="AS226" s="30"/>
      <c r="AV226" s="316"/>
      <c r="AW226" s="316"/>
      <c r="AX226" s="316"/>
      <c r="AY226" s="316"/>
      <c r="AZ226" s="315"/>
    </row>
    <row r="227" spans="3:52" hidden="1" x14ac:dyDescent="0.25">
      <c r="C227" s="171"/>
      <c r="D227" s="171"/>
      <c r="E227" s="152"/>
      <c r="F227" s="171"/>
      <c r="G227" s="171"/>
      <c r="H227" s="22"/>
      <c r="I227" s="172"/>
      <c r="J227" s="172"/>
      <c r="K227" s="171"/>
      <c r="L227" s="172"/>
      <c r="M227" s="172"/>
      <c r="N227" s="172"/>
      <c r="O227" s="172"/>
      <c r="P227" s="23"/>
      <c r="Q227" s="23"/>
      <c r="R227" s="172"/>
      <c r="S227" s="172"/>
      <c r="T227" s="172"/>
      <c r="U227" s="172"/>
      <c r="V227" s="20"/>
      <c r="W227" s="24"/>
      <c r="X227" s="24"/>
      <c r="Y227" s="24"/>
      <c r="Z227" s="24"/>
      <c r="AA227" s="24"/>
      <c r="AB227" s="24"/>
      <c r="AC227" s="24"/>
      <c r="AD227" s="24"/>
      <c r="AE227" s="24"/>
      <c r="AF227" s="24"/>
      <c r="AG227" s="24"/>
      <c r="AH227" s="25"/>
      <c r="AI227" s="26"/>
      <c r="AJ227" s="25"/>
      <c r="AK227" s="31"/>
      <c r="AL227" s="24"/>
      <c r="AM227" s="24"/>
      <c r="AN227" s="24"/>
      <c r="AO227" s="24"/>
      <c r="AP227" s="27"/>
      <c r="AQ227" s="28"/>
      <c r="AR227" s="29"/>
      <c r="AS227" s="30"/>
      <c r="AV227" s="316"/>
      <c r="AW227" s="316"/>
      <c r="AX227" s="316"/>
      <c r="AY227" s="316"/>
      <c r="AZ227" s="315"/>
    </row>
    <row r="228" spans="3:52" hidden="1" x14ac:dyDescent="0.25">
      <c r="C228" s="171"/>
      <c r="D228" s="171"/>
      <c r="E228" s="152"/>
      <c r="F228" s="171"/>
      <c r="G228" s="171"/>
      <c r="H228" s="22"/>
      <c r="I228" s="172"/>
      <c r="J228" s="172"/>
      <c r="K228" s="171"/>
      <c r="L228" s="172"/>
      <c r="M228" s="172"/>
      <c r="N228" s="172"/>
      <c r="O228" s="172"/>
      <c r="P228" s="23"/>
      <c r="Q228" s="23"/>
      <c r="R228" s="172"/>
      <c r="S228" s="172"/>
      <c r="T228" s="172"/>
      <c r="U228" s="172"/>
      <c r="V228" s="20"/>
      <c r="W228" s="24"/>
      <c r="X228" s="24"/>
      <c r="Y228" s="24"/>
      <c r="Z228" s="24"/>
      <c r="AA228" s="24"/>
      <c r="AB228" s="24"/>
      <c r="AC228" s="24"/>
      <c r="AD228" s="24"/>
      <c r="AE228" s="24"/>
      <c r="AF228" s="24"/>
      <c r="AG228" s="24"/>
      <c r="AH228" s="25"/>
      <c r="AI228" s="26"/>
      <c r="AJ228" s="25"/>
      <c r="AK228" s="31"/>
      <c r="AL228" s="24"/>
      <c r="AM228" s="24"/>
      <c r="AN228" s="24"/>
      <c r="AO228" s="24"/>
      <c r="AP228" s="27"/>
      <c r="AQ228" s="28"/>
      <c r="AR228" s="29"/>
      <c r="AS228" s="30"/>
      <c r="AV228" s="316"/>
      <c r="AW228" s="316"/>
      <c r="AX228" s="316"/>
      <c r="AY228" s="316"/>
      <c r="AZ228" s="315"/>
    </row>
    <row r="229" spans="3:52" hidden="1" x14ac:dyDescent="0.25">
      <c r="C229" s="171"/>
      <c r="D229" s="171"/>
      <c r="E229" s="152"/>
      <c r="F229" s="171"/>
      <c r="G229" s="171"/>
      <c r="H229" s="22"/>
      <c r="I229" s="172"/>
      <c r="J229" s="172"/>
      <c r="K229" s="171"/>
      <c r="L229" s="172"/>
      <c r="M229" s="172"/>
      <c r="N229" s="172"/>
      <c r="O229" s="172"/>
      <c r="P229" s="23"/>
      <c r="Q229" s="23"/>
      <c r="R229" s="172"/>
      <c r="S229" s="172"/>
      <c r="T229" s="172"/>
      <c r="U229" s="172"/>
      <c r="V229" s="20"/>
      <c r="W229" s="24"/>
      <c r="X229" s="24"/>
      <c r="Y229" s="24"/>
      <c r="Z229" s="24"/>
      <c r="AA229" s="24"/>
      <c r="AB229" s="24"/>
      <c r="AC229" s="24"/>
      <c r="AD229" s="24"/>
      <c r="AE229" s="24"/>
      <c r="AF229" s="24"/>
      <c r="AG229" s="24"/>
      <c r="AH229" s="25"/>
      <c r="AI229" s="26"/>
      <c r="AJ229" s="25"/>
      <c r="AK229" s="31"/>
      <c r="AL229" s="24"/>
      <c r="AM229" s="24"/>
      <c r="AN229" s="24"/>
      <c r="AO229" s="24"/>
      <c r="AP229" s="27"/>
      <c r="AQ229" s="28"/>
      <c r="AR229" s="29"/>
      <c r="AS229" s="30"/>
      <c r="AV229" s="316"/>
      <c r="AW229" s="316"/>
      <c r="AX229" s="316"/>
      <c r="AY229" s="316"/>
      <c r="AZ229" s="315"/>
    </row>
    <row r="230" spans="3:52" hidden="1" x14ac:dyDescent="0.25">
      <c r="C230" s="171"/>
      <c r="D230" s="171"/>
      <c r="E230" s="152"/>
      <c r="F230" s="171"/>
      <c r="G230" s="171"/>
      <c r="H230" s="22"/>
      <c r="I230" s="172"/>
      <c r="J230" s="172"/>
      <c r="K230" s="171"/>
      <c r="L230" s="172"/>
      <c r="M230" s="172"/>
      <c r="N230" s="172"/>
      <c r="O230" s="172"/>
      <c r="P230" s="23"/>
      <c r="Q230" s="23"/>
      <c r="R230" s="172"/>
      <c r="S230" s="172"/>
      <c r="T230" s="172"/>
      <c r="U230" s="172"/>
      <c r="V230" s="20"/>
      <c r="W230" s="24"/>
      <c r="X230" s="24"/>
      <c r="Y230" s="24"/>
      <c r="Z230" s="24"/>
      <c r="AA230" s="24"/>
      <c r="AB230" s="24"/>
      <c r="AC230" s="24"/>
      <c r="AD230" s="24"/>
      <c r="AE230" s="24"/>
      <c r="AF230" s="24"/>
      <c r="AG230" s="24"/>
      <c r="AH230" s="25"/>
      <c r="AI230" s="26"/>
      <c r="AJ230" s="25"/>
      <c r="AK230" s="31"/>
      <c r="AL230" s="24"/>
      <c r="AM230" s="24"/>
      <c r="AN230" s="24"/>
      <c r="AO230" s="24"/>
      <c r="AP230" s="27"/>
      <c r="AQ230" s="28"/>
      <c r="AR230" s="29"/>
      <c r="AS230" s="30"/>
      <c r="AV230" s="316"/>
      <c r="AW230" s="316"/>
      <c r="AX230" s="316"/>
      <c r="AY230" s="316"/>
      <c r="AZ230" s="315"/>
    </row>
    <row r="231" spans="3:52" hidden="1" x14ac:dyDescent="0.25">
      <c r="C231" s="171"/>
      <c r="D231" s="171"/>
      <c r="E231" s="152"/>
      <c r="F231" s="171"/>
      <c r="G231" s="171"/>
      <c r="H231" s="22"/>
      <c r="I231" s="172"/>
      <c r="J231" s="172"/>
      <c r="K231" s="171"/>
      <c r="L231" s="172"/>
      <c r="M231" s="172"/>
      <c r="N231" s="172"/>
      <c r="O231" s="172"/>
      <c r="P231" s="23"/>
      <c r="Q231" s="23"/>
      <c r="R231" s="172"/>
      <c r="S231" s="172"/>
      <c r="T231" s="172"/>
      <c r="U231" s="172"/>
      <c r="V231" s="20"/>
      <c r="W231" s="24"/>
      <c r="X231" s="24"/>
      <c r="Y231" s="24"/>
      <c r="Z231" s="24"/>
      <c r="AA231" s="24"/>
      <c r="AB231" s="24"/>
      <c r="AC231" s="24"/>
      <c r="AD231" s="24"/>
      <c r="AE231" s="24"/>
      <c r="AF231" s="24"/>
      <c r="AG231" s="24"/>
      <c r="AH231" s="25"/>
      <c r="AI231" s="26"/>
      <c r="AJ231" s="25"/>
      <c r="AK231" s="31"/>
      <c r="AL231" s="24"/>
      <c r="AM231" s="24"/>
      <c r="AN231" s="24"/>
      <c r="AO231" s="24"/>
      <c r="AP231" s="27"/>
      <c r="AQ231" s="28"/>
      <c r="AR231" s="29"/>
      <c r="AS231" s="30"/>
      <c r="AV231" s="316"/>
      <c r="AW231" s="316"/>
      <c r="AX231" s="316"/>
      <c r="AY231" s="316"/>
      <c r="AZ231" s="315"/>
    </row>
    <row r="232" spans="3:52" hidden="1" x14ac:dyDescent="0.25">
      <c r="C232" s="171"/>
      <c r="D232" s="171"/>
      <c r="E232" s="152"/>
      <c r="F232" s="171"/>
      <c r="G232" s="171"/>
      <c r="H232" s="22"/>
      <c r="I232" s="172"/>
      <c r="J232" s="172"/>
      <c r="K232" s="171"/>
      <c r="L232" s="172"/>
      <c r="M232" s="172"/>
      <c r="N232" s="172"/>
      <c r="O232" s="172"/>
      <c r="P232" s="23"/>
      <c r="Q232" s="23"/>
      <c r="R232" s="172"/>
      <c r="S232" s="172"/>
      <c r="T232" s="172"/>
      <c r="U232" s="172"/>
      <c r="V232" s="20"/>
      <c r="W232" s="24"/>
      <c r="X232" s="24"/>
      <c r="Y232" s="24"/>
      <c r="Z232" s="24"/>
      <c r="AA232" s="24"/>
      <c r="AB232" s="24"/>
      <c r="AC232" s="24"/>
      <c r="AD232" s="24"/>
      <c r="AE232" s="24"/>
      <c r="AF232" s="24"/>
      <c r="AG232" s="24"/>
      <c r="AH232" s="25"/>
      <c r="AI232" s="26"/>
      <c r="AJ232" s="25"/>
      <c r="AK232" s="31"/>
      <c r="AL232" s="24"/>
      <c r="AM232" s="24"/>
      <c r="AN232" s="24"/>
      <c r="AO232" s="24"/>
      <c r="AP232" s="27"/>
      <c r="AQ232" s="28"/>
      <c r="AR232" s="29"/>
      <c r="AS232" s="30"/>
      <c r="AV232" s="316"/>
      <c r="AW232" s="316"/>
      <c r="AX232" s="316"/>
      <c r="AY232" s="316"/>
      <c r="AZ232" s="315"/>
    </row>
    <row r="233" spans="3:52" hidden="1" x14ac:dyDescent="0.25">
      <c r="C233" s="171"/>
      <c r="D233" s="171"/>
      <c r="E233" s="152"/>
      <c r="F233" s="171"/>
      <c r="G233" s="171"/>
      <c r="H233" s="22"/>
      <c r="I233" s="172"/>
      <c r="J233" s="172"/>
      <c r="K233" s="171"/>
      <c r="L233" s="172"/>
      <c r="M233" s="172"/>
      <c r="N233" s="172"/>
      <c r="O233" s="172"/>
      <c r="P233" s="23"/>
      <c r="Q233" s="23"/>
      <c r="R233" s="172"/>
      <c r="S233" s="172"/>
      <c r="T233" s="172"/>
      <c r="U233" s="172"/>
      <c r="V233" s="20"/>
      <c r="W233" s="24"/>
      <c r="X233" s="24"/>
      <c r="Y233" s="24"/>
      <c r="Z233" s="24"/>
      <c r="AA233" s="24"/>
      <c r="AB233" s="24"/>
      <c r="AC233" s="24"/>
      <c r="AD233" s="24"/>
      <c r="AE233" s="24"/>
      <c r="AF233" s="24"/>
      <c r="AG233" s="24"/>
      <c r="AH233" s="25"/>
      <c r="AI233" s="26"/>
      <c r="AJ233" s="25"/>
      <c r="AK233" s="31"/>
      <c r="AL233" s="24"/>
      <c r="AM233" s="24"/>
      <c r="AN233" s="24"/>
      <c r="AO233" s="24"/>
      <c r="AP233" s="27"/>
      <c r="AQ233" s="28"/>
      <c r="AR233" s="29"/>
      <c r="AS233" s="30"/>
      <c r="AV233" s="316"/>
      <c r="AW233" s="316"/>
      <c r="AX233" s="316"/>
      <c r="AY233" s="316"/>
      <c r="AZ233" s="315"/>
    </row>
    <row r="234" spans="3:52" hidden="1" x14ac:dyDescent="0.25">
      <c r="C234" s="171"/>
      <c r="D234" s="171"/>
      <c r="E234" s="152"/>
      <c r="F234" s="171"/>
      <c r="G234" s="171"/>
      <c r="H234" s="22"/>
      <c r="I234" s="172"/>
      <c r="J234" s="172"/>
      <c r="K234" s="171"/>
      <c r="L234" s="172"/>
      <c r="M234" s="172"/>
      <c r="N234" s="172"/>
      <c r="O234" s="172"/>
      <c r="P234" s="23"/>
      <c r="Q234" s="23"/>
      <c r="R234" s="172"/>
      <c r="S234" s="172"/>
      <c r="T234" s="172"/>
      <c r="U234" s="172"/>
      <c r="V234" s="20"/>
      <c r="W234" s="24"/>
      <c r="X234" s="24"/>
      <c r="Y234" s="24"/>
      <c r="Z234" s="24"/>
      <c r="AA234" s="24"/>
      <c r="AB234" s="24"/>
      <c r="AC234" s="24"/>
      <c r="AD234" s="24"/>
      <c r="AE234" s="24"/>
      <c r="AF234" s="24"/>
      <c r="AG234" s="24"/>
      <c r="AH234" s="25"/>
      <c r="AI234" s="26"/>
      <c r="AJ234" s="25"/>
      <c r="AK234" s="31"/>
      <c r="AL234" s="24"/>
      <c r="AM234" s="24"/>
      <c r="AN234" s="24"/>
      <c r="AO234" s="24"/>
      <c r="AP234" s="27"/>
      <c r="AQ234" s="28"/>
      <c r="AR234" s="29"/>
      <c r="AS234" s="30"/>
      <c r="AV234" s="316"/>
      <c r="AW234" s="316"/>
      <c r="AX234" s="316"/>
      <c r="AY234" s="316"/>
      <c r="AZ234" s="315"/>
    </row>
    <row r="235" spans="3:52" hidden="1" x14ac:dyDescent="0.25">
      <c r="C235" s="171"/>
      <c r="D235" s="171"/>
      <c r="E235" s="152"/>
      <c r="F235" s="171"/>
      <c r="G235" s="171"/>
      <c r="H235" s="22"/>
      <c r="I235" s="172"/>
      <c r="J235" s="172"/>
      <c r="K235" s="171"/>
      <c r="L235" s="172"/>
      <c r="M235" s="172"/>
      <c r="N235" s="172"/>
      <c r="O235" s="172"/>
      <c r="P235" s="23"/>
      <c r="Q235" s="23"/>
      <c r="R235" s="172"/>
      <c r="S235" s="172"/>
      <c r="T235" s="172"/>
      <c r="U235" s="172"/>
      <c r="V235" s="20"/>
      <c r="W235" s="24"/>
      <c r="X235" s="24"/>
      <c r="Y235" s="24"/>
      <c r="Z235" s="24"/>
      <c r="AA235" s="24"/>
      <c r="AB235" s="24"/>
      <c r="AC235" s="24"/>
      <c r="AD235" s="24"/>
      <c r="AE235" s="24"/>
      <c r="AF235" s="24"/>
      <c r="AG235" s="24"/>
      <c r="AH235" s="25"/>
      <c r="AI235" s="26"/>
      <c r="AJ235" s="25"/>
      <c r="AK235" s="31"/>
      <c r="AL235" s="24"/>
      <c r="AM235" s="24"/>
      <c r="AN235" s="24"/>
      <c r="AO235" s="24"/>
      <c r="AP235" s="27"/>
      <c r="AQ235" s="28"/>
      <c r="AR235" s="29"/>
      <c r="AS235" s="30"/>
      <c r="AV235" s="316"/>
      <c r="AW235" s="316"/>
      <c r="AX235" s="316"/>
      <c r="AY235" s="316"/>
      <c r="AZ235" s="315"/>
    </row>
    <row r="236" spans="3:52" hidden="1" x14ac:dyDescent="0.25">
      <c r="C236" s="171"/>
      <c r="D236" s="131"/>
      <c r="E236" s="152"/>
      <c r="F236" s="171"/>
      <c r="G236" s="171"/>
      <c r="H236" s="22"/>
      <c r="I236" s="172"/>
      <c r="J236" s="172"/>
      <c r="K236" s="171"/>
      <c r="L236" s="172"/>
      <c r="M236" s="172"/>
      <c r="N236" s="172"/>
      <c r="O236" s="172"/>
      <c r="P236" s="23"/>
      <c r="Q236" s="23"/>
      <c r="R236" s="172"/>
      <c r="S236" s="172"/>
      <c r="T236" s="172"/>
      <c r="U236" s="172"/>
      <c r="V236" s="20"/>
      <c r="W236" s="24"/>
      <c r="X236" s="24"/>
      <c r="Y236" s="24"/>
      <c r="Z236" s="24"/>
      <c r="AA236" s="24"/>
      <c r="AB236" s="24"/>
      <c r="AC236" s="24"/>
      <c r="AD236" s="24"/>
      <c r="AE236" s="24"/>
      <c r="AF236" s="24"/>
      <c r="AG236" s="24"/>
      <c r="AH236" s="25"/>
      <c r="AI236" s="26"/>
      <c r="AJ236" s="25"/>
      <c r="AK236" s="31"/>
      <c r="AL236" s="24"/>
      <c r="AM236" s="24"/>
      <c r="AN236" s="24"/>
      <c r="AO236" s="24"/>
      <c r="AP236" s="27"/>
      <c r="AQ236" s="28"/>
      <c r="AR236" s="29"/>
      <c r="AS236" s="30"/>
      <c r="AV236" s="316"/>
      <c r="AW236" s="316"/>
      <c r="AX236" s="316"/>
      <c r="AY236" s="316"/>
      <c r="AZ236" s="315"/>
    </row>
    <row r="237" spans="3:52" hidden="1" x14ac:dyDescent="0.25">
      <c r="C237" s="171"/>
      <c r="D237" s="131"/>
      <c r="E237" s="152"/>
      <c r="F237" s="171"/>
      <c r="G237" s="171"/>
      <c r="H237" s="22"/>
      <c r="I237" s="172"/>
      <c r="J237" s="172"/>
      <c r="K237" s="171"/>
      <c r="L237" s="172"/>
      <c r="M237" s="172"/>
      <c r="N237" s="172"/>
      <c r="O237" s="172"/>
      <c r="P237" s="23"/>
      <c r="Q237" s="23"/>
      <c r="R237" s="172"/>
      <c r="S237" s="172"/>
      <c r="T237" s="172"/>
      <c r="U237" s="172"/>
      <c r="V237" s="20"/>
      <c r="W237" s="24"/>
      <c r="X237" s="24"/>
      <c r="Y237" s="24"/>
      <c r="Z237" s="24"/>
      <c r="AA237" s="24"/>
      <c r="AB237" s="24"/>
      <c r="AC237" s="24"/>
      <c r="AD237" s="24"/>
      <c r="AE237" s="24"/>
      <c r="AF237" s="24"/>
      <c r="AG237" s="24"/>
      <c r="AH237" s="25"/>
      <c r="AI237" s="26"/>
      <c r="AJ237" s="25"/>
      <c r="AK237" s="31"/>
      <c r="AL237" s="24"/>
      <c r="AM237" s="24"/>
      <c r="AN237" s="24"/>
      <c r="AO237" s="24"/>
      <c r="AP237" s="27"/>
      <c r="AQ237" s="28"/>
      <c r="AR237" s="29"/>
      <c r="AS237" s="30"/>
      <c r="AV237" s="316"/>
      <c r="AW237" s="316"/>
      <c r="AX237" s="316"/>
      <c r="AY237" s="316"/>
      <c r="AZ237" s="315"/>
    </row>
    <row r="238" spans="3:52" hidden="1" x14ac:dyDescent="0.25">
      <c r="C238" s="171"/>
      <c r="D238" s="171"/>
      <c r="E238" s="152"/>
      <c r="F238" s="171"/>
      <c r="G238" s="171"/>
      <c r="H238" s="22"/>
      <c r="I238" s="172"/>
      <c r="J238" s="172"/>
      <c r="K238" s="171"/>
      <c r="L238" s="172"/>
      <c r="M238" s="172"/>
      <c r="N238" s="172"/>
      <c r="O238" s="172"/>
      <c r="P238" s="23"/>
      <c r="Q238" s="23"/>
      <c r="R238" s="172"/>
      <c r="S238" s="172"/>
      <c r="T238" s="172"/>
      <c r="U238" s="172"/>
      <c r="V238" s="20"/>
      <c r="W238" s="24"/>
      <c r="X238" s="24"/>
      <c r="Y238" s="24"/>
      <c r="Z238" s="24"/>
      <c r="AA238" s="24"/>
      <c r="AB238" s="24"/>
      <c r="AC238" s="24"/>
      <c r="AD238" s="24"/>
      <c r="AE238" s="24"/>
      <c r="AF238" s="24"/>
      <c r="AG238" s="24"/>
      <c r="AH238" s="25"/>
      <c r="AI238" s="26"/>
      <c r="AJ238" s="25"/>
      <c r="AK238" s="31"/>
      <c r="AL238" s="24"/>
      <c r="AM238" s="24"/>
      <c r="AN238" s="24"/>
      <c r="AO238" s="24"/>
      <c r="AP238" s="27"/>
      <c r="AQ238" s="28"/>
      <c r="AR238" s="29"/>
      <c r="AS238" s="30"/>
      <c r="AV238" s="316"/>
      <c r="AW238" s="316"/>
      <c r="AX238" s="316"/>
      <c r="AY238" s="316"/>
      <c r="AZ238" s="315"/>
    </row>
    <row r="239" spans="3:52" hidden="1" x14ac:dyDescent="0.25">
      <c r="C239" s="171"/>
      <c r="D239" s="131"/>
      <c r="E239" s="152"/>
      <c r="F239" s="171"/>
      <c r="G239" s="171"/>
      <c r="H239" s="22"/>
      <c r="I239" s="172"/>
      <c r="J239" s="172"/>
      <c r="K239" s="171"/>
      <c r="L239" s="172"/>
      <c r="M239" s="172"/>
      <c r="N239" s="172"/>
      <c r="O239" s="172"/>
      <c r="P239" s="23"/>
      <c r="Q239" s="23"/>
      <c r="R239" s="172"/>
      <c r="S239" s="172"/>
      <c r="T239" s="172"/>
      <c r="U239" s="172"/>
      <c r="V239" s="20"/>
      <c r="W239" s="24"/>
      <c r="X239" s="24"/>
      <c r="Y239" s="24"/>
      <c r="Z239" s="24"/>
      <c r="AA239" s="24"/>
      <c r="AB239" s="24"/>
      <c r="AC239" s="24"/>
      <c r="AD239" s="24"/>
      <c r="AE239" s="24"/>
      <c r="AF239" s="24"/>
      <c r="AG239" s="24"/>
      <c r="AH239" s="25"/>
      <c r="AI239" s="26"/>
      <c r="AJ239" s="25"/>
      <c r="AK239" s="31"/>
      <c r="AL239" s="24"/>
      <c r="AM239" s="24"/>
      <c r="AN239" s="24"/>
      <c r="AO239" s="24"/>
      <c r="AP239" s="27"/>
      <c r="AQ239" s="28"/>
      <c r="AR239" s="29"/>
      <c r="AS239" s="30"/>
      <c r="AV239" s="316"/>
      <c r="AW239" s="316"/>
      <c r="AX239" s="316"/>
      <c r="AY239" s="316"/>
      <c r="AZ239" s="315"/>
    </row>
    <row r="240" spans="3:52" hidden="1" x14ac:dyDescent="0.25">
      <c r="C240" s="171"/>
      <c r="D240" s="131"/>
      <c r="E240" s="152"/>
      <c r="F240" s="171"/>
      <c r="G240" s="171"/>
      <c r="H240" s="22"/>
      <c r="I240" s="172"/>
      <c r="J240" s="172"/>
      <c r="K240" s="171"/>
      <c r="L240" s="172"/>
      <c r="M240" s="172"/>
      <c r="N240" s="172"/>
      <c r="O240" s="172"/>
      <c r="P240" s="23"/>
      <c r="Q240" s="23"/>
      <c r="R240" s="172"/>
      <c r="S240" s="172"/>
      <c r="T240" s="172"/>
      <c r="U240" s="172"/>
      <c r="V240" s="20"/>
      <c r="W240" s="24"/>
      <c r="X240" s="24"/>
      <c r="Y240" s="24"/>
      <c r="Z240" s="24"/>
      <c r="AA240" s="24"/>
      <c r="AB240" s="24"/>
      <c r="AC240" s="24"/>
      <c r="AD240" s="24"/>
      <c r="AE240" s="24"/>
      <c r="AF240" s="24"/>
      <c r="AG240" s="24"/>
      <c r="AH240" s="25"/>
      <c r="AI240" s="26"/>
      <c r="AJ240" s="25"/>
      <c r="AK240" s="31"/>
      <c r="AL240" s="24"/>
      <c r="AM240" s="24"/>
      <c r="AN240" s="24"/>
      <c r="AO240" s="24"/>
      <c r="AP240" s="27"/>
      <c r="AQ240" s="28"/>
      <c r="AR240" s="29"/>
      <c r="AS240" s="30"/>
      <c r="AV240" s="316"/>
      <c r="AW240" s="316"/>
      <c r="AX240" s="316"/>
      <c r="AY240" s="316"/>
      <c r="AZ240" s="315"/>
    </row>
    <row r="241" spans="3:52" hidden="1" x14ac:dyDescent="0.25">
      <c r="C241" s="171"/>
      <c r="D241" s="131"/>
      <c r="E241" s="152"/>
      <c r="F241" s="171"/>
      <c r="G241" s="171"/>
      <c r="H241" s="22"/>
      <c r="I241" s="172"/>
      <c r="J241" s="172"/>
      <c r="K241" s="171"/>
      <c r="L241" s="172"/>
      <c r="M241" s="172"/>
      <c r="N241" s="172"/>
      <c r="O241" s="172"/>
      <c r="P241" s="23"/>
      <c r="Q241" s="23"/>
      <c r="R241" s="172"/>
      <c r="S241" s="172"/>
      <c r="T241" s="172"/>
      <c r="U241" s="172"/>
      <c r="V241" s="20"/>
      <c r="W241" s="24"/>
      <c r="X241" s="24"/>
      <c r="Y241" s="24"/>
      <c r="Z241" s="24"/>
      <c r="AA241" s="24"/>
      <c r="AB241" s="24"/>
      <c r="AC241" s="24"/>
      <c r="AD241" s="24"/>
      <c r="AE241" s="24"/>
      <c r="AF241" s="24"/>
      <c r="AG241" s="24"/>
      <c r="AH241" s="25"/>
      <c r="AI241" s="26"/>
      <c r="AJ241" s="25"/>
      <c r="AK241" s="31"/>
      <c r="AL241" s="24"/>
      <c r="AM241" s="24"/>
      <c r="AN241" s="24"/>
      <c r="AO241" s="24"/>
      <c r="AP241" s="27"/>
      <c r="AQ241" s="28"/>
      <c r="AR241" s="29"/>
      <c r="AS241" s="30"/>
      <c r="AV241" s="316"/>
      <c r="AW241" s="316"/>
      <c r="AX241" s="316"/>
      <c r="AY241" s="316"/>
      <c r="AZ241" s="315"/>
    </row>
    <row r="242" spans="3:52" hidden="1" x14ac:dyDescent="0.25">
      <c r="C242" s="171"/>
      <c r="D242" s="131"/>
      <c r="E242" s="152"/>
      <c r="F242" s="171"/>
      <c r="G242" s="171"/>
      <c r="H242" s="22"/>
      <c r="I242" s="172"/>
      <c r="J242" s="172"/>
      <c r="K242" s="171"/>
      <c r="L242" s="172"/>
      <c r="M242" s="172"/>
      <c r="N242" s="172"/>
      <c r="O242" s="172"/>
      <c r="P242" s="23"/>
      <c r="Q242" s="23"/>
      <c r="R242" s="172"/>
      <c r="S242" s="172"/>
      <c r="T242" s="172"/>
      <c r="U242" s="172"/>
      <c r="V242" s="20"/>
      <c r="W242" s="24"/>
      <c r="X242" s="24"/>
      <c r="Y242" s="24"/>
      <c r="Z242" s="24"/>
      <c r="AA242" s="24"/>
      <c r="AB242" s="24"/>
      <c r="AC242" s="24"/>
      <c r="AD242" s="24"/>
      <c r="AE242" s="24"/>
      <c r="AF242" s="24"/>
      <c r="AG242" s="24"/>
      <c r="AH242" s="25"/>
      <c r="AI242" s="26"/>
      <c r="AJ242" s="25"/>
      <c r="AK242" s="31"/>
      <c r="AL242" s="24"/>
      <c r="AM242" s="24"/>
      <c r="AN242" s="24"/>
      <c r="AO242" s="24"/>
      <c r="AP242" s="27"/>
      <c r="AQ242" s="28"/>
      <c r="AR242" s="29"/>
      <c r="AS242" s="30"/>
      <c r="AV242" s="316"/>
      <c r="AW242" s="316"/>
      <c r="AX242" s="316"/>
      <c r="AY242" s="316"/>
      <c r="AZ242" s="315"/>
    </row>
    <row r="243" spans="3:52" hidden="1" x14ac:dyDescent="0.25">
      <c r="C243" s="171"/>
      <c r="D243" s="131"/>
      <c r="E243" s="152"/>
      <c r="F243" s="171"/>
      <c r="G243" s="171"/>
      <c r="H243" s="22"/>
      <c r="I243" s="172"/>
      <c r="J243" s="172"/>
      <c r="K243" s="171"/>
      <c r="L243" s="172"/>
      <c r="M243" s="172"/>
      <c r="N243" s="172"/>
      <c r="O243" s="172"/>
      <c r="P243" s="23"/>
      <c r="Q243" s="23"/>
      <c r="R243" s="172"/>
      <c r="S243" s="172"/>
      <c r="T243" s="172"/>
      <c r="U243" s="172"/>
      <c r="V243" s="20"/>
      <c r="W243" s="24"/>
      <c r="X243" s="24"/>
      <c r="Y243" s="24"/>
      <c r="Z243" s="24"/>
      <c r="AA243" s="24"/>
      <c r="AB243" s="24"/>
      <c r="AC243" s="24"/>
      <c r="AD243" s="24"/>
      <c r="AE243" s="24"/>
      <c r="AF243" s="24"/>
      <c r="AG243" s="24"/>
      <c r="AH243" s="25"/>
      <c r="AI243" s="26"/>
      <c r="AJ243" s="25"/>
      <c r="AK243" s="31"/>
      <c r="AL243" s="24"/>
      <c r="AM243" s="24"/>
      <c r="AN243" s="24"/>
      <c r="AO243" s="24"/>
      <c r="AP243" s="27"/>
      <c r="AQ243" s="28"/>
      <c r="AR243" s="29"/>
      <c r="AS243" s="30"/>
      <c r="AV243" s="316"/>
      <c r="AW243" s="316"/>
      <c r="AX243" s="316"/>
      <c r="AY243" s="316"/>
      <c r="AZ243" s="315"/>
    </row>
    <row r="244" spans="3:52" hidden="1" x14ac:dyDescent="0.25">
      <c r="C244" s="171"/>
      <c r="D244" s="131"/>
      <c r="E244" s="152"/>
      <c r="F244" s="171"/>
      <c r="G244" s="171"/>
      <c r="H244" s="22"/>
      <c r="I244" s="172"/>
      <c r="J244" s="172"/>
      <c r="K244" s="171"/>
      <c r="L244" s="172"/>
      <c r="M244" s="172"/>
      <c r="N244" s="172"/>
      <c r="O244" s="172"/>
      <c r="P244" s="23"/>
      <c r="Q244" s="23"/>
      <c r="R244" s="172"/>
      <c r="S244" s="172"/>
      <c r="T244" s="172"/>
      <c r="U244" s="172"/>
      <c r="V244" s="20"/>
      <c r="W244" s="24"/>
      <c r="X244" s="24"/>
      <c r="Y244" s="24"/>
      <c r="Z244" s="24"/>
      <c r="AA244" s="24"/>
      <c r="AB244" s="24"/>
      <c r="AC244" s="24"/>
      <c r="AD244" s="24"/>
      <c r="AE244" s="24"/>
      <c r="AF244" s="24"/>
      <c r="AG244" s="24"/>
      <c r="AH244" s="25"/>
      <c r="AI244" s="26"/>
      <c r="AJ244" s="25"/>
      <c r="AK244" s="31"/>
      <c r="AL244" s="24"/>
      <c r="AM244" s="24"/>
      <c r="AN244" s="24"/>
      <c r="AO244" s="24"/>
      <c r="AP244" s="27"/>
      <c r="AQ244" s="28"/>
      <c r="AR244" s="29"/>
      <c r="AS244" s="30"/>
      <c r="AV244" s="316"/>
      <c r="AW244" s="316"/>
      <c r="AX244" s="316"/>
      <c r="AY244" s="316"/>
      <c r="AZ244" s="315"/>
    </row>
    <row r="245" spans="3:52" hidden="1" x14ac:dyDescent="0.25">
      <c r="C245" s="171"/>
      <c r="D245" s="131"/>
      <c r="E245" s="152"/>
      <c r="F245" s="171"/>
      <c r="G245" s="171"/>
      <c r="H245" s="22"/>
      <c r="I245" s="172"/>
      <c r="J245" s="172"/>
      <c r="K245" s="171"/>
      <c r="L245" s="172"/>
      <c r="M245" s="172"/>
      <c r="N245" s="172"/>
      <c r="O245" s="172"/>
      <c r="P245" s="23"/>
      <c r="Q245" s="23"/>
      <c r="R245" s="172"/>
      <c r="S245" s="172"/>
      <c r="T245" s="172"/>
      <c r="U245" s="172"/>
      <c r="V245" s="20"/>
      <c r="W245" s="24"/>
      <c r="X245" s="24"/>
      <c r="Y245" s="24"/>
      <c r="Z245" s="24"/>
      <c r="AA245" s="24"/>
      <c r="AB245" s="24"/>
      <c r="AC245" s="24"/>
      <c r="AD245" s="24"/>
      <c r="AE245" s="24"/>
      <c r="AF245" s="24"/>
      <c r="AG245" s="24"/>
      <c r="AH245" s="25"/>
      <c r="AI245" s="26"/>
      <c r="AJ245" s="25"/>
      <c r="AK245" s="31"/>
      <c r="AL245" s="24"/>
      <c r="AM245" s="24"/>
      <c r="AN245" s="24"/>
      <c r="AO245" s="24"/>
      <c r="AP245" s="27"/>
      <c r="AQ245" s="28"/>
      <c r="AR245" s="29"/>
      <c r="AS245" s="30"/>
      <c r="AV245" s="316"/>
      <c r="AW245" s="316"/>
      <c r="AX245" s="316"/>
      <c r="AY245" s="316"/>
      <c r="AZ245" s="315"/>
    </row>
    <row r="246" spans="3:52" hidden="1" x14ac:dyDescent="0.25">
      <c r="C246" s="171"/>
      <c r="D246" s="131"/>
      <c r="E246" s="152"/>
      <c r="F246" s="171"/>
      <c r="G246" s="171"/>
      <c r="H246" s="22"/>
      <c r="I246" s="172"/>
      <c r="J246" s="172"/>
      <c r="K246" s="171"/>
      <c r="L246" s="172"/>
      <c r="M246" s="172"/>
      <c r="N246" s="172"/>
      <c r="O246" s="172"/>
      <c r="P246" s="23"/>
      <c r="Q246" s="23"/>
      <c r="R246" s="172"/>
      <c r="S246" s="172"/>
      <c r="T246" s="172"/>
      <c r="U246" s="172"/>
      <c r="V246" s="20"/>
      <c r="W246" s="24"/>
      <c r="X246" s="24"/>
      <c r="Y246" s="24"/>
      <c r="Z246" s="24"/>
      <c r="AA246" s="24"/>
      <c r="AB246" s="24"/>
      <c r="AC246" s="24"/>
      <c r="AD246" s="24"/>
      <c r="AE246" s="24"/>
      <c r="AF246" s="24"/>
      <c r="AG246" s="24"/>
      <c r="AH246" s="25"/>
      <c r="AI246" s="26"/>
      <c r="AJ246" s="25"/>
      <c r="AK246" s="31"/>
      <c r="AL246" s="24"/>
      <c r="AM246" s="24"/>
      <c r="AN246" s="24"/>
      <c r="AO246" s="24"/>
      <c r="AP246" s="27"/>
      <c r="AQ246" s="28"/>
      <c r="AR246" s="29"/>
      <c r="AS246" s="30"/>
      <c r="AV246" s="316"/>
      <c r="AW246" s="316"/>
      <c r="AX246" s="316"/>
      <c r="AY246" s="316"/>
      <c r="AZ246" s="315"/>
    </row>
    <row r="247" spans="3:52" hidden="1" x14ac:dyDescent="0.25">
      <c r="C247" s="171"/>
      <c r="D247" s="131"/>
      <c r="E247" s="152"/>
      <c r="F247" s="171"/>
      <c r="G247" s="171"/>
      <c r="H247" s="22"/>
      <c r="I247" s="172"/>
      <c r="J247" s="172"/>
      <c r="K247" s="171"/>
      <c r="L247" s="172"/>
      <c r="M247" s="172"/>
      <c r="N247" s="172"/>
      <c r="O247" s="172"/>
      <c r="P247" s="23"/>
      <c r="Q247" s="23"/>
      <c r="R247" s="172"/>
      <c r="S247" s="172"/>
      <c r="T247" s="172"/>
      <c r="U247" s="172"/>
      <c r="V247" s="20"/>
      <c r="W247" s="24"/>
      <c r="X247" s="24"/>
      <c r="Y247" s="24"/>
      <c r="Z247" s="24"/>
      <c r="AA247" s="24"/>
      <c r="AB247" s="24"/>
      <c r="AC247" s="24"/>
      <c r="AD247" s="24"/>
      <c r="AE247" s="24"/>
      <c r="AF247" s="24"/>
      <c r="AG247" s="24"/>
      <c r="AH247" s="25"/>
      <c r="AI247" s="26"/>
      <c r="AJ247" s="25"/>
      <c r="AK247" s="31"/>
      <c r="AL247" s="24"/>
      <c r="AM247" s="24"/>
      <c r="AN247" s="24"/>
      <c r="AO247" s="24"/>
      <c r="AP247" s="27"/>
      <c r="AQ247" s="28"/>
      <c r="AR247" s="29"/>
      <c r="AS247" s="30"/>
      <c r="AV247" s="316"/>
      <c r="AW247" s="316"/>
      <c r="AX247" s="316"/>
      <c r="AY247" s="316"/>
      <c r="AZ247" s="315"/>
    </row>
    <row r="248" spans="3:52" hidden="1" x14ac:dyDescent="0.25">
      <c r="C248" s="171"/>
      <c r="D248" s="131"/>
      <c r="E248" s="152"/>
      <c r="F248" s="171"/>
      <c r="G248" s="171"/>
      <c r="H248" s="22"/>
      <c r="I248" s="172"/>
      <c r="J248" s="172"/>
      <c r="K248" s="171"/>
      <c r="L248" s="172"/>
      <c r="M248" s="172"/>
      <c r="N248" s="172"/>
      <c r="O248" s="172"/>
      <c r="P248" s="23"/>
      <c r="Q248" s="23"/>
      <c r="R248" s="172"/>
      <c r="S248" s="172"/>
      <c r="T248" s="172"/>
      <c r="U248" s="172"/>
      <c r="V248" s="20"/>
      <c r="W248" s="24"/>
      <c r="X248" s="24"/>
      <c r="Y248" s="24"/>
      <c r="Z248" s="24"/>
      <c r="AA248" s="24"/>
      <c r="AB248" s="24"/>
      <c r="AC248" s="24"/>
      <c r="AD248" s="24"/>
      <c r="AE248" s="24"/>
      <c r="AF248" s="24"/>
      <c r="AG248" s="24"/>
      <c r="AH248" s="25"/>
      <c r="AI248" s="26"/>
      <c r="AJ248" s="25"/>
      <c r="AK248" s="31"/>
      <c r="AL248" s="24"/>
      <c r="AM248" s="24"/>
      <c r="AN248" s="24"/>
      <c r="AO248" s="24"/>
      <c r="AP248" s="27"/>
      <c r="AQ248" s="28"/>
      <c r="AR248" s="29"/>
      <c r="AS248" s="30"/>
      <c r="AV248" s="316"/>
      <c r="AW248" s="316"/>
      <c r="AX248" s="316"/>
      <c r="AY248" s="316"/>
      <c r="AZ248" s="315"/>
    </row>
    <row r="249" spans="3:52" hidden="1" x14ac:dyDescent="0.25">
      <c r="C249" s="171"/>
      <c r="D249" s="131"/>
      <c r="E249" s="152"/>
      <c r="F249" s="171"/>
      <c r="G249" s="171"/>
      <c r="H249" s="22"/>
      <c r="I249" s="172"/>
      <c r="J249" s="172"/>
      <c r="K249" s="171"/>
      <c r="L249" s="172"/>
      <c r="M249" s="172"/>
      <c r="N249" s="172"/>
      <c r="O249" s="172"/>
      <c r="P249" s="23"/>
      <c r="Q249" s="23"/>
      <c r="R249" s="172"/>
      <c r="S249" s="172"/>
      <c r="T249" s="172"/>
      <c r="U249" s="172"/>
      <c r="V249" s="20"/>
      <c r="W249" s="24"/>
      <c r="X249" s="24"/>
      <c r="Y249" s="24"/>
      <c r="Z249" s="24"/>
      <c r="AA249" s="24"/>
      <c r="AB249" s="24"/>
      <c r="AC249" s="24"/>
      <c r="AD249" s="24"/>
      <c r="AE249" s="24"/>
      <c r="AF249" s="24"/>
      <c r="AG249" s="24"/>
      <c r="AH249" s="25"/>
      <c r="AI249" s="26"/>
      <c r="AJ249" s="25"/>
      <c r="AK249" s="31"/>
      <c r="AL249" s="24"/>
      <c r="AM249" s="24"/>
      <c r="AN249" s="24"/>
      <c r="AO249" s="24"/>
      <c r="AP249" s="27"/>
      <c r="AQ249" s="28"/>
      <c r="AR249" s="29"/>
      <c r="AS249" s="30"/>
      <c r="AV249" s="316"/>
      <c r="AW249" s="316"/>
      <c r="AX249" s="316"/>
      <c r="AY249" s="316"/>
      <c r="AZ249" s="315"/>
    </row>
    <row r="250" spans="3:52" hidden="1" x14ac:dyDescent="0.25">
      <c r="C250" s="171"/>
      <c r="D250" s="131"/>
      <c r="E250" s="152"/>
      <c r="F250" s="171"/>
      <c r="G250" s="171"/>
      <c r="H250" s="22"/>
      <c r="I250" s="172"/>
      <c r="J250" s="172"/>
      <c r="K250" s="171"/>
      <c r="L250" s="172"/>
      <c r="M250" s="172"/>
      <c r="N250" s="172"/>
      <c r="O250" s="172"/>
      <c r="P250" s="23"/>
      <c r="Q250" s="23"/>
      <c r="R250" s="172"/>
      <c r="S250" s="172"/>
      <c r="T250" s="172"/>
      <c r="U250" s="172"/>
      <c r="V250" s="20"/>
      <c r="W250" s="24"/>
      <c r="X250" s="24"/>
      <c r="Y250" s="24"/>
      <c r="Z250" s="24"/>
      <c r="AA250" s="24"/>
      <c r="AB250" s="24"/>
      <c r="AC250" s="24"/>
      <c r="AD250" s="24"/>
      <c r="AE250" s="24"/>
      <c r="AF250" s="24"/>
      <c r="AG250" s="24"/>
      <c r="AH250" s="25"/>
      <c r="AI250" s="26"/>
      <c r="AJ250" s="25"/>
      <c r="AK250" s="31"/>
      <c r="AL250" s="24"/>
      <c r="AM250" s="24"/>
      <c r="AN250" s="24"/>
      <c r="AO250" s="24"/>
      <c r="AP250" s="27"/>
      <c r="AQ250" s="28"/>
      <c r="AR250" s="29"/>
      <c r="AS250" s="30"/>
      <c r="AV250" s="316"/>
      <c r="AW250" s="316"/>
      <c r="AX250" s="316"/>
      <c r="AY250" s="316"/>
      <c r="AZ250" s="315"/>
    </row>
    <row r="251" spans="3:52" hidden="1" x14ac:dyDescent="0.25">
      <c r="C251" s="171"/>
      <c r="D251" s="131"/>
      <c r="E251" s="152"/>
      <c r="F251" s="171"/>
      <c r="G251" s="171"/>
      <c r="H251" s="22"/>
      <c r="I251" s="172"/>
      <c r="J251" s="172"/>
      <c r="K251" s="171"/>
      <c r="L251" s="172"/>
      <c r="M251" s="172"/>
      <c r="N251" s="172"/>
      <c r="O251" s="172"/>
      <c r="P251" s="23"/>
      <c r="Q251" s="23"/>
      <c r="R251" s="172"/>
      <c r="S251" s="172"/>
      <c r="T251" s="172"/>
      <c r="U251" s="172"/>
      <c r="V251" s="20"/>
      <c r="W251" s="24"/>
      <c r="X251" s="24"/>
      <c r="Y251" s="24"/>
      <c r="Z251" s="24"/>
      <c r="AA251" s="24"/>
      <c r="AB251" s="24"/>
      <c r="AC251" s="24"/>
      <c r="AD251" s="24"/>
      <c r="AE251" s="24"/>
      <c r="AF251" s="24"/>
      <c r="AG251" s="24"/>
      <c r="AH251" s="25"/>
      <c r="AI251" s="26"/>
      <c r="AJ251" s="25"/>
      <c r="AK251" s="31"/>
      <c r="AL251" s="24"/>
      <c r="AM251" s="24"/>
      <c r="AN251" s="24"/>
      <c r="AO251" s="24"/>
      <c r="AP251" s="27"/>
      <c r="AQ251" s="28"/>
      <c r="AR251" s="29"/>
      <c r="AS251" s="30"/>
      <c r="AV251" s="316"/>
      <c r="AW251" s="316"/>
      <c r="AX251" s="316"/>
      <c r="AY251" s="316"/>
      <c r="AZ251" s="315"/>
    </row>
    <row r="252" spans="3:52" hidden="1" x14ac:dyDescent="0.25">
      <c r="C252" s="171"/>
      <c r="D252" s="131"/>
      <c r="E252" s="152"/>
      <c r="F252" s="171"/>
      <c r="G252" s="171"/>
      <c r="H252" s="22"/>
      <c r="I252" s="172"/>
      <c r="J252" s="172"/>
      <c r="K252" s="171"/>
      <c r="L252" s="172"/>
      <c r="M252" s="172"/>
      <c r="N252" s="172"/>
      <c r="O252" s="172"/>
      <c r="P252" s="23"/>
      <c r="Q252" s="23"/>
      <c r="R252" s="172"/>
      <c r="S252" s="172"/>
      <c r="T252" s="172"/>
      <c r="U252" s="172"/>
      <c r="V252" s="20"/>
      <c r="W252" s="24"/>
      <c r="X252" s="24"/>
      <c r="Y252" s="24"/>
      <c r="Z252" s="24"/>
      <c r="AA252" s="24"/>
      <c r="AB252" s="24"/>
      <c r="AC252" s="24"/>
      <c r="AD252" s="24"/>
      <c r="AE252" s="24"/>
      <c r="AF252" s="24"/>
      <c r="AG252" s="24"/>
      <c r="AH252" s="25"/>
      <c r="AI252" s="26"/>
      <c r="AJ252" s="25"/>
      <c r="AK252" s="31"/>
      <c r="AL252" s="24"/>
      <c r="AM252" s="24"/>
      <c r="AN252" s="24"/>
      <c r="AO252" s="24"/>
      <c r="AP252" s="27"/>
      <c r="AQ252" s="28"/>
      <c r="AR252" s="29"/>
      <c r="AS252" s="30"/>
      <c r="AV252" s="316"/>
      <c r="AW252" s="316"/>
      <c r="AX252" s="316"/>
      <c r="AY252" s="316"/>
      <c r="AZ252" s="315"/>
    </row>
    <row r="253" spans="3:52" hidden="1" x14ac:dyDescent="0.25">
      <c r="C253" s="171"/>
      <c r="D253" s="131"/>
      <c r="E253" s="152"/>
      <c r="F253" s="171"/>
      <c r="G253" s="171"/>
      <c r="H253" s="22"/>
      <c r="I253" s="172"/>
      <c r="J253" s="172"/>
      <c r="K253" s="171"/>
      <c r="L253" s="172"/>
      <c r="M253" s="172"/>
      <c r="N253" s="172"/>
      <c r="O253" s="172"/>
      <c r="P253" s="23"/>
      <c r="Q253" s="23"/>
      <c r="R253" s="172"/>
      <c r="S253" s="172"/>
      <c r="T253" s="172"/>
      <c r="U253" s="172"/>
      <c r="V253" s="20"/>
      <c r="W253" s="24"/>
      <c r="X253" s="24"/>
      <c r="Y253" s="24"/>
      <c r="Z253" s="24"/>
      <c r="AA253" s="24"/>
      <c r="AB253" s="24"/>
      <c r="AC253" s="24"/>
      <c r="AD253" s="24"/>
      <c r="AE253" s="24"/>
      <c r="AF253" s="24"/>
      <c r="AG253" s="24"/>
      <c r="AH253" s="25"/>
      <c r="AI253" s="26"/>
      <c r="AJ253" s="25"/>
      <c r="AK253" s="31"/>
      <c r="AL253" s="24"/>
      <c r="AM253" s="24"/>
      <c r="AN253" s="24"/>
      <c r="AO253" s="24"/>
      <c r="AP253" s="27"/>
      <c r="AQ253" s="28"/>
      <c r="AR253" s="29"/>
      <c r="AS253" s="30"/>
      <c r="AV253" s="316"/>
      <c r="AW253" s="316"/>
      <c r="AX253" s="316"/>
      <c r="AY253" s="316"/>
      <c r="AZ253" s="315"/>
    </row>
    <row r="254" spans="3:52" hidden="1" x14ac:dyDescent="0.25">
      <c r="C254" s="171"/>
      <c r="D254" s="131"/>
      <c r="E254" s="152"/>
      <c r="F254" s="171"/>
      <c r="G254" s="171"/>
      <c r="H254" s="22"/>
      <c r="I254" s="172"/>
      <c r="J254" s="172"/>
      <c r="K254" s="171"/>
      <c r="L254" s="172"/>
      <c r="M254" s="172"/>
      <c r="N254" s="172"/>
      <c r="O254" s="172"/>
      <c r="P254" s="23"/>
      <c r="Q254" s="23"/>
      <c r="R254" s="172"/>
      <c r="S254" s="172"/>
      <c r="T254" s="172"/>
      <c r="U254" s="172"/>
      <c r="V254" s="20"/>
      <c r="W254" s="24"/>
      <c r="X254" s="24"/>
      <c r="Y254" s="24"/>
      <c r="Z254" s="24"/>
      <c r="AA254" s="24"/>
      <c r="AB254" s="24"/>
      <c r="AC254" s="24"/>
      <c r="AD254" s="24"/>
      <c r="AE254" s="24"/>
      <c r="AF254" s="24"/>
      <c r="AG254" s="24"/>
      <c r="AH254" s="25"/>
      <c r="AI254" s="26"/>
      <c r="AJ254" s="25"/>
      <c r="AK254" s="31"/>
      <c r="AL254" s="24"/>
      <c r="AM254" s="24"/>
      <c r="AN254" s="24"/>
      <c r="AO254" s="24"/>
      <c r="AP254" s="27"/>
      <c r="AQ254" s="28"/>
      <c r="AR254" s="29"/>
      <c r="AS254" s="30"/>
      <c r="AV254" s="316"/>
      <c r="AW254" s="316"/>
      <c r="AX254" s="316"/>
      <c r="AY254" s="316"/>
      <c r="AZ254" s="315"/>
    </row>
    <row r="255" spans="3:52" hidden="1" x14ac:dyDescent="0.25">
      <c r="C255" s="171"/>
      <c r="D255" s="131"/>
      <c r="E255" s="152"/>
      <c r="F255" s="171"/>
      <c r="G255" s="171"/>
      <c r="H255" s="22"/>
      <c r="I255" s="172"/>
      <c r="J255" s="172"/>
      <c r="K255" s="171"/>
      <c r="L255" s="172"/>
      <c r="M255" s="172"/>
      <c r="N255" s="172"/>
      <c r="O255" s="172"/>
      <c r="P255" s="23"/>
      <c r="Q255" s="23"/>
      <c r="R255" s="172"/>
      <c r="S255" s="172"/>
      <c r="T255" s="172"/>
      <c r="U255" s="172"/>
      <c r="V255" s="20"/>
      <c r="W255" s="24"/>
      <c r="X255" s="24"/>
      <c r="Y255" s="24"/>
      <c r="Z255" s="24"/>
      <c r="AA255" s="24"/>
      <c r="AB255" s="24"/>
      <c r="AC255" s="24"/>
      <c r="AD255" s="24"/>
      <c r="AE255" s="24"/>
      <c r="AF255" s="24"/>
      <c r="AG255" s="24"/>
      <c r="AH255" s="25"/>
      <c r="AI255" s="26"/>
      <c r="AJ255" s="25"/>
      <c r="AK255" s="31"/>
      <c r="AL255" s="24"/>
      <c r="AM255" s="24"/>
      <c r="AN255" s="24"/>
      <c r="AO255" s="24"/>
      <c r="AP255" s="27"/>
      <c r="AQ255" s="28"/>
      <c r="AR255" s="29"/>
      <c r="AS255" s="30"/>
      <c r="AV255" s="316"/>
      <c r="AW255" s="316"/>
      <c r="AX255" s="316"/>
      <c r="AY255" s="316"/>
      <c r="AZ255" s="315"/>
    </row>
    <row r="256" spans="3:52" hidden="1" x14ac:dyDescent="0.25">
      <c r="C256" s="171"/>
      <c r="D256" s="131"/>
      <c r="E256" s="152"/>
      <c r="F256" s="171"/>
      <c r="G256" s="171"/>
      <c r="H256" s="22"/>
      <c r="I256" s="172"/>
      <c r="J256" s="172"/>
      <c r="K256" s="171"/>
      <c r="L256" s="172"/>
      <c r="M256" s="172"/>
      <c r="N256" s="172"/>
      <c r="O256" s="172"/>
      <c r="P256" s="23"/>
      <c r="Q256" s="23"/>
      <c r="R256" s="172"/>
      <c r="S256" s="172"/>
      <c r="T256" s="172"/>
      <c r="U256" s="172"/>
      <c r="V256" s="20"/>
      <c r="W256" s="24"/>
      <c r="X256" s="24"/>
      <c r="Y256" s="24"/>
      <c r="Z256" s="24"/>
      <c r="AA256" s="24"/>
      <c r="AB256" s="24"/>
      <c r="AC256" s="24"/>
      <c r="AD256" s="24"/>
      <c r="AE256" s="24"/>
      <c r="AF256" s="24"/>
      <c r="AG256" s="24"/>
      <c r="AH256" s="25"/>
      <c r="AI256" s="26"/>
      <c r="AJ256" s="25"/>
      <c r="AK256" s="31"/>
      <c r="AL256" s="24"/>
      <c r="AM256" s="24"/>
      <c r="AN256" s="24"/>
      <c r="AO256" s="24"/>
      <c r="AP256" s="27"/>
      <c r="AQ256" s="28"/>
      <c r="AR256" s="29"/>
      <c r="AS256" s="30"/>
      <c r="AV256" s="316"/>
      <c r="AW256" s="316"/>
      <c r="AX256" s="316"/>
      <c r="AY256" s="316"/>
      <c r="AZ256" s="315"/>
    </row>
    <row r="257" spans="3:52" hidden="1" x14ac:dyDescent="0.25">
      <c r="C257" s="171"/>
      <c r="D257" s="131"/>
      <c r="E257" s="152"/>
      <c r="F257" s="171"/>
      <c r="G257" s="171"/>
      <c r="H257" s="22"/>
      <c r="I257" s="172"/>
      <c r="J257" s="172"/>
      <c r="K257" s="171"/>
      <c r="L257" s="172"/>
      <c r="M257" s="172"/>
      <c r="N257" s="172"/>
      <c r="O257" s="172"/>
      <c r="P257" s="23"/>
      <c r="Q257" s="23"/>
      <c r="R257" s="172"/>
      <c r="S257" s="172"/>
      <c r="T257" s="172"/>
      <c r="U257" s="172"/>
      <c r="V257" s="20"/>
      <c r="W257" s="24"/>
      <c r="X257" s="24"/>
      <c r="Y257" s="24"/>
      <c r="Z257" s="24"/>
      <c r="AA257" s="24"/>
      <c r="AB257" s="24"/>
      <c r="AC257" s="24"/>
      <c r="AD257" s="24"/>
      <c r="AE257" s="24"/>
      <c r="AF257" s="24"/>
      <c r="AG257" s="24"/>
      <c r="AH257" s="25"/>
      <c r="AI257" s="26"/>
      <c r="AJ257" s="25"/>
      <c r="AK257" s="31"/>
      <c r="AL257" s="24"/>
      <c r="AM257" s="24"/>
      <c r="AN257" s="24"/>
      <c r="AO257" s="24"/>
      <c r="AP257" s="27"/>
      <c r="AQ257" s="28"/>
      <c r="AR257" s="29"/>
      <c r="AS257" s="30"/>
      <c r="AV257" s="316"/>
      <c r="AW257" s="316"/>
      <c r="AX257" s="316"/>
      <c r="AY257" s="316"/>
      <c r="AZ257" s="315"/>
    </row>
    <row r="258" spans="3:52" hidden="1" x14ac:dyDescent="0.25">
      <c r="C258" s="171"/>
      <c r="D258" s="131"/>
      <c r="E258" s="152"/>
      <c r="F258" s="171"/>
      <c r="G258" s="171"/>
      <c r="H258" s="22"/>
      <c r="I258" s="172"/>
      <c r="J258" s="172"/>
      <c r="K258" s="171"/>
      <c r="L258" s="172"/>
      <c r="M258" s="172"/>
      <c r="N258" s="172"/>
      <c r="O258" s="172"/>
      <c r="P258" s="23"/>
      <c r="Q258" s="23"/>
      <c r="R258" s="172"/>
      <c r="S258" s="172"/>
      <c r="T258" s="172"/>
      <c r="U258" s="172"/>
      <c r="V258" s="20"/>
      <c r="W258" s="24"/>
      <c r="X258" s="24"/>
      <c r="Y258" s="24"/>
      <c r="Z258" s="24"/>
      <c r="AA258" s="24"/>
      <c r="AB258" s="24"/>
      <c r="AC258" s="24"/>
      <c r="AD258" s="24"/>
      <c r="AE258" s="24"/>
      <c r="AF258" s="24"/>
      <c r="AG258" s="24"/>
      <c r="AH258" s="25"/>
      <c r="AI258" s="26"/>
      <c r="AJ258" s="25"/>
      <c r="AK258" s="31"/>
      <c r="AL258" s="24"/>
      <c r="AM258" s="24"/>
      <c r="AN258" s="24"/>
      <c r="AO258" s="24"/>
      <c r="AP258" s="27"/>
      <c r="AQ258" s="28"/>
      <c r="AR258" s="29"/>
      <c r="AS258" s="30"/>
      <c r="AV258" s="316"/>
      <c r="AW258" s="316"/>
      <c r="AX258" s="316"/>
      <c r="AY258" s="316"/>
      <c r="AZ258" s="315"/>
    </row>
    <row r="259" spans="3:52" hidden="1" x14ac:dyDescent="0.25">
      <c r="C259" s="171"/>
      <c r="D259" s="131"/>
      <c r="E259" s="152"/>
      <c r="F259" s="171"/>
      <c r="G259" s="171"/>
      <c r="H259" s="22"/>
      <c r="I259" s="172"/>
      <c r="J259" s="172"/>
      <c r="K259" s="171"/>
      <c r="L259" s="172"/>
      <c r="M259" s="172"/>
      <c r="N259" s="172"/>
      <c r="O259" s="172"/>
      <c r="P259" s="23"/>
      <c r="Q259" s="23"/>
      <c r="R259" s="172"/>
      <c r="S259" s="172"/>
      <c r="T259" s="172"/>
      <c r="U259" s="172"/>
      <c r="V259" s="20"/>
      <c r="W259" s="24"/>
      <c r="X259" s="24"/>
      <c r="Y259" s="24"/>
      <c r="Z259" s="24"/>
      <c r="AA259" s="24"/>
      <c r="AB259" s="24"/>
      <c r="AC259" s="24"/>
      <c r="AD259" s="24"/>
      <c r="AE259" s="24"/>
      <c r="AF259" s="24"/>
      <c r="AG259" s="24"/>
      <c r="AH259" s="25"/>
      <c r="AI259" s="26"/>
      <c r="AJ259" s="25"/>
      <c r="AK259" s="31"/>
      <c r="AL259" s="24"/>
      <c r="AM259" s="24"/>
      <c r="AN259" s="24"/>
      <c r="AO259" s="24"/>
      <c r="AP259" s="27"/>
      <c r="AQ259" s="28"/>
      <c r="AR259" s="29"/>
      <c r="AS259" s="30"/>
      <c r="AV259" s="316"/>
      <c r="AW259" s="316"/>
      <c r="AX259" s="316"/>
      <c r="AY259" s="316"/>
      <c r="AZ259" s="315"/>
    </row>
    <row r="260" spans="3:52" hidden="1" x14ac:dyDescent="0.25">
      <c r="C260" s="171"/>
      <c r="D260" s="131"/>
      <c r="E260" s="152"/>
      <c r="F260" s="171"/>
      <c r="G260" s="171"/>
      <c r="H260" s="22"/>
      <c r="I260" s="172"/>
      <c r="J260" s="172"/>
      <c r="K260" s="171"/>
      <c r="L260" s="172"/>
      <c r="M260" s="172"/>
      <c r="N260" s="172"/>
      <c r="O260" s="172"/>
      <c r="P260" s="23"/>
      <c r="Q260" s="23"/>
      <c r="R260" s="172"/>
      <c r="S260" s="172"/>
      <c r="T260" s="172"/>
      <c r="U260" s="172"/>
      <c r="V260" s="20"/>
      <c r="W260" s="24"/>
      <c r="X260" s="24"/>
      <c r="Y260" s="24"/>
      <c r="Z260" s="24"/>
      <c r="AA260" s="24"/>
      <c r="AB260" s="24"/>
      <c r="AC260" s="24"/>
      <c r="AD260" s="24"/>
      <c r="AE260" s="24"/>
      <c r="AF260" s="24"/>
      <c r="AG260" s="24"/>
      <c r="AH260" s="25"/>
      <c r="AI260" s="26"/>
      <c r="AJ260" s="25"/>
      <c r="AK260" s="31"/>
      <c r="AL260" s="24"/>
      <c r="AM260" s="24"/>
      <c r="AN260" s="24"/>
      <c r="AO260" s="24"/>
      <c r="AP260" s="27"/>
      <c r="AQ260" s="28"/>
      <c r="AR260" s="29"/>
      <c r="AS260" s="30"/>
      <c r="AV260" s="316"/>
      <c r="AW260" s="316"/>
      <c r="AX260" s="316"/>
      <c r="AY260" s="316"/>
      <c r="AZ260" s="315"/>
    </row>
    <row r="261" spans="3:52" hidden="1" x14ac:dyDescent="0.25">
      <c r="C261" s="171"/>
      <c r="D261" s="131"/>
      <c r="E261" s="152"/>
      <c r="F261" s="171"/>
      <c r="G261" s="171"/>
      <c r="H261" s="22"/>
      <c r="I261" s="172"/>
      <c r="J261" s="172"/>
      <c r="K261" s="171"/>
      <c r="L261" s="172"/>
      <c r="M261" s="172"/>
      <c r="N261" s="172"/>
      <c r="O261" s="172"/>
      <c r="P261" s="23"/>
      <c r="Q261" s="23"/>
      <c r="R261" s="172"/>
      <c r="S261" s="172"/>
      <c r="T261" s="172"/>
      <c r="U261" s="172"/>
      <c r="V261" s="20"/>
      <c r="W261" s="24"/>
      <c r="X261" s="24"/>
      <c r="Y261" s="24"/>
      <c r="Z261" s="24"/>
      <c r="AA261" s="24"/>
      <c r="AB261" s="24"/>
      <c r="AC261" s="24"/>
      <c r="AD261" s="24"/>
      <c r="AE261" s="24"/>
      <c r="AF261" s="24"/>
      <c r="AG261" s="24"/>
      <c r="AH261" s="25"/>
      <c r="AI261" s="26"/>
      <c r="AJ261" s="25"/>
      <c r="AK261" s="31"/>
      <c r="AL261" s="24"/>
      <c r="AM261" s="24"/>
      <c r="AN261" s="24"/>
      <c r="AO261" s="24"/>
      <c r="AP261" s="27"/>
      <c r="AQ261" s="28"/>
      <c r="AR261" s="29"/>
      <c r="AS261" s="30"/>
      <c r="AV261" s="316"/>
      <c r="AW261" s="316"/>
      <c r="AX261" s="316"/>
      <c r="AY261" s="316"/>
      <c r="AZ261" s="315"/>
    </row>
    <row r="262" spans="3:52" hidden="1" x14ac:dyDescent="0.25">
      <c r="C262" s="171"/>
      <c r="D262" s="131"/>
      <c r="E262" s="152"/>
      <c r="F262" s="171"/>
      <c r="G262" s="171"/>
      <c r="H262" s="22"/>
      <c r="I262" s="172"/>
      <c r="J262" s="172"/>
      <c r="K262" s="171"/>
      <c r="L262" s="172"/>
      <c r="M262" s="172"/>
      <c r="N262" s="172"/>
      <c r="O262" s="172"/>
      <c r="P262" s="23"/>
      <c r="Q262" s="23"/>
      <c r="R262" s="172"/>
      <c r="S262" s="172"/>
      <c r="T262" s="172"/>
      <c r="U262" s="172"/>
      <c r="V262" s="20"/>
      <c r="W262" s="24"/>
      <c r="X262" s="24"/>
      <c r="Y262" s="24"/>
      <c r="Z262" s="24"/>
      <c r="AA262" s="24"/>
      <c r="AB262" s="24"/>
      <c r="AC262" s="24"/>
      <c r="AD262" s="24"/>
      <c r="AE262" s="24"/>
      <c r="AF262" s="24"/>
      <c r="AG262" s="24"/>
      <c r="AH262" s="25"/>
      <c r="AI262" s="26"/>
      <c r="AJ262" s="25"/>
      <c r="AK262" s="31"/>
      <c r="AL262" s="24"/>
      <c r="AM262" s="24"/>
      <c r="AN262" s="24"/>
      <c r="AO262" s="24"/>
      <c r="AP262" s="27"/>
      <c r="AQ262" s="28"/>
      <c r="AR262" s="29"/>
      <c r="AS262" s="30"/>
      <c r="AV262" s="316"/>
      <c r="AW262" s="316"/>
      <c r="AX262" s="316"/>
      <c r="AY262" s="316"/>
      <c r="AZ262" s="315"/>
    </row>
    <row r="263" spans="3:52" hidden="1" x14ac:dyDescent="0.25">
      <c r="C263" s="171"/>
      <c r="D263" s="131"/>
      <c r="E263" s="152"/>
      <c r="F263" s="171"/>
      <c r="G263" s="171"/>
      <c r="H263" s="22"/>
      <c r="I263" s="172"/>
      <c r="J263" s="172"/>
      <c r="K263" s="171"/>
      <c r="L263" s="172"/>
      <c r="M263" s="172"/>
      <c r="N263" s="172"/>
      <c r="O263" s="172"/>
      <c r="P263" s="23"/>
      <c r="Q263" s="23"/>
      <c r="R263" s="172"/>
      <c r="S263" s="172"/>
      <c r="T263" s="172"/>
      <c r="U263" s="172"/>
      <c r="V263" s="20"/>
      <c r="W263" s="24"/>
      <c r="X263" s="24"/>
      <c r="Y263" s="24"/>
      <c r="Z263" s="24"/>
      <c r="AA263" s="24"/>
      <c r="AB263" s="24"/>
      <c r="AC263" s="24"/>
      <c r="AD263" s="24"/>
      <c r="AE263" s="24"/>
      <c r="AF263" s="24"/>
      <c r="AG263" s="24"/>
      <c r="AH263" s="25"/>
      <c r="AI263" s="26"/>
      <c r="AJ263" s="25"/>
      <c r="AK263" s="31"/>
      <c r="AL263" s="24"/>
      <c r="AM263" s="24"/>
      <c r="AN263" s="24"/>
      <c r="AO263" s="24"/>
      <c r="AP263" s="27"/>
      <c r="AQ263" s="28"/>
      <c r="AR263" s="29"/>
      <c r="AS263" s="30"/>
      <c r="AV263" s="316"/>
      <c r="AW263" s="316"/>
      <c r="AX263" s="316"/>
      <c r="AY263" s="316"/>
      <c r="AZ263" s="315"/>
    </row>
    <row r="264" spans="3:52" hidden="1" x14ac:dyDescent="0.25">
      <c r="C264" s="171"/>
      <c r="D264" s="131"/>
      <c r="E264" s="152"/>
      <c r="F264" s="171"/>
      <c r="G264" s="171"/>
      <c r="H264" s="22"/>
      <c r="I264" s="172"/>
      <c r="J264" s="172"/>
      <c r="K264" s="171"/>
      <c r="L264" s="172"/>
      <c r="M264" s="172"/>
      <c r="N264" s="172"/>
      <c r="O264" s="172"/>
      <c r="P264" s="23"/>
      <c r="Q264" s="23"/>
      <c r="R264" s="172"/>
      <c r="S264" s="172"/>
      <c r="T264" s="172"/>
      <c r="U264" s="172"/>
      <c r="V264" s="20"/>
      <c r="W264" s="24"/>
      <c r="X264" s="24"/>
      <c r="Y264" s="24"/>
      <c r="Z264" s="24"/>
      <c r="AA264" s="24"/>
      <c r="AB264" s="24"/>
      <c r="AC264" s="24"/>
      <c r="AD264" s="24"/>
      <c r="AE264" s="24"/>
      <c r="AF264" s="24"/>
      <c r="AG264" s="24"/>
      <c r="AH264" s="25"/>
      <c r="AI264" s="26"/>
      <c r="AJ264" s="25"/>
      <c r="AK264" s="31"/>
      <c r="AL264" s="24"/>
      <c r="AM264" s="24"/>
      <c r="AN264" s="24"/>
      <c r="AO264" s="24"/>
      <c r="AP264" s="27"/>
      <c r="AQ264" s="28"/>
      <c r="AR264" s="29"/>
      <c r="AS264" s="30"/>
      <c r="AV264" s="316"/>
      <c r="AW264" s="316"/>
      <c r="AX264" s="316"/>
      <c r="AY264" s="316"/>
      <c r="AZ264" s="315"/>
    </row>
    <row r="265" spans="3:52" hidden="1" x14ac:dyDescent="0.25">
      <c r="C265" s="171"/>
      <c r="D265" s="131"/>
      <c r="E265" s="152"/>
      <c r="F265" s="171"/>
      <c r="G265" s="171"/>
      <c r="H265" s="22"/>
      <c r="I265" s="172"/>
      <c r="J265" s="172"/>
      <c r="K265" s="171"/>
      <c r="L265" s="172"/>
      <c r="M265" s="172"/>
      <c r="N265" s="172"/>
      <c r="O265" s="172"/>
      <c r="P265" s="23"/>
      <c r="Q265" s="23"/>
      <c r="R265" s="172"/>
      <c r="S265" s="172"/>
      <c r="T265" s="172"/>
      <c r="U265" s="172"/>
      <c r="V265" s="20"/>
      <c r="W265" s="24"/>
      <c r="X265" s="24"/>
      <c r="Y265" s="24"/>
      <c r="Z265" s="24"/>
      <c r="AA265" s="24"/>
      <c r="AB265" s="24"/>
      <c r="AC265" s="24"/>
      <c r="AD265" s="24"/>
      <c r="AE265" s="24"/>
      <c r="AF265" s="24"/>
      <c r="AG265" s="24"/>
      <c r="AH265" s="25"/>
      <c r="AI265" s="26"/>
      <c r="AJ265" s="25"/>
      <c r="AK265" s="31"/>
      <c r="AL265" s="24"/>
      <c r="AM265" s="24"/>
      <c r="AN265" s="24"/>
      <c r="AO265" s="24"/>
      <c r="AP265" s="27"/>
      <c r="AQ265" s="28"/>
      <c r="AR265" s="29"/>
      <c r="AS265" s="30"/>
      <c r="AV265" s="316"/>
      <c r="AW265" s="316"/>
      <c r="AX265" s="316"/>
      <c r="AY265" s="316"/>
      <c r="AZ265" s="315"/>
    </row>
    <row r="266" spans="3:52" hidden="1" x14ac:dyDescent="0.25">
      <c r="C266" s="171"/>
      <c r="D266" s="131"/>
      <c r="E266" s="152"/>
      <c r="F266" s="171"/>
      <c r="G266" s="171"/>
      <c r="H266" s="22"/>
      <c r="I266" s="172"/>
      <c r="J266" s="172"/>
      <c r="K266" s="171"/>
      <c r="L266" s="172"/>
      <c r="M266" s="172"/>
      <c r="N266" s="172"/>
      <c r="O266" s="172"/>
      <c r="P266" s="23"/>
      <c r="Q266" s="23"/>
      <c r="R266" s="172"/>
      <c r="S266" s="172"/>
      <c r="T266" s="172"/>
      <c r="U266" s="172"/>
      <c r="V266" s="20"/>
      <c r="W266" s="24"/>
      <c r="X266" s="24"/>
      <c r="Y266" s="24"/>
      <c r="Z266" s="24"/>
      <c r="AA266" s="24"/>
      <c r="AB266" s="24"/>
      <c r="AC266" s="24"/>
      <c r="AD266" s="24"/>
      <c r="AE266" s="24"/>
      <c r="AF266" s="24"/>
      <c r="AG266" s="24"/>
      <c r="AH266" s="25"/>
      <c r="AI266" s="26"/>
      <c r="AJ266" s="25"/>
      <c r="AK266" s="31"/>
      <c r="AL266" s="24"/>
      <c r="AM266" s="24"/>
      <c r="AN266" s="24"/>
      <c r="AO266" s="24"/>
      <c r="AP266" s="27"/>
      <c r="AQ266" s="28"/>
      <c r="AR266" s="29"/>
      <c r="AS266" s="30"/>
      <c r="AV266" s="316"/>
      <c r="AW266" s="316"/>
      <c r="AX266" s="316"/>
      <c r="AY266" s="316"/>
      <c r="AZ266" s="315"/>
    </row>
    <row r="267" spans="3:52" hidden="1" x14ac:dyDescent="0.25">
      <c r="C267" s="171"/>
      <c r="D267" s="131"/>
      <c r="E267" s="152"/>
      <c r="F267" s="171"/>
      <c r="G267" s="171"/>
      <c r="H267" s="22"/>
      <c r="I267" s="172"/>
      <c r="J267" s="172"/>
      <c r="K267" s="171"/>
      <c r="L267" s="172"/>
      <c r="M267" s="172"/>
      <c r="N267" s="172"/>
      <c r="O267" s="172"/>
      <c r="P267" s="23"/>
      <c r="Q267" s="23"/>
      <c r="R267" s="172"/>
      <c r="S267" s="172"/>
      <c r="T267" s="172"/>
      <c r="U267" s="172"/>
      <c r="V267" s="20"/>
      <c r="W267" s="24"/>
      <c r="X267" s="24"/>
      <c r="Y267" s="24"/>
      <c r="Z267" s="24"/>
      <c r="AA267" s="24"/>
      <c r="AB267" s="24"/>
      <c r="AC267" s="24"/>
      <c r="AD267" s="24"/>
      <c r="AE267" s="24"/>
      <c r="AF267" s="24"/>
      <c r="AG267" s="24"/>
      <c r="AH267" s="25"/>
      <c r="AI267" s="26"/>
      <c r="AJ267" s="25"/>
      <c r="AK267" s="31"/>
      <c r="AL267" s="24"/>
      <c r="AM267" s="24"/>
      <c r="AN267" s="24"/>
      <c r="AO267" s="24"/>
      <c r="AP267" s="27"/>
      <c r="AQ267" s="28"/>
      <c r="AR267" s="29"/>
      <c r="AS267" s="30"/>
      <c r="AV267" s="316"/>
      <c r="AW267" s="316"/>
      <c r="AX267" s="316"/>
      <c r="AY267" s="316"/>
      <c r="AZ267" s="315"/>
    </row>
    <row r="268" spans="3:52" hidden="1" x14ac:dyDescent="0.25">
      <c r="C268" s="171"/>
      <c r="D268" s="131"/>
      <c r="E268" s="152"/>
      <c r="F268" s="171"/>
      <c r="G268" s="171"/>
      <c r="H268" s="22"/>
      <c r="I268" s="172"/>
      <c r="J268" s="172"/>
      <c r="K268" s="171"/>
      <c r="L268" s="172"/>
      <c r="M268" s="172"/>
      <c r="N268" s="172"/>
      <c r="O268" s="172"/>
      <c r="P268" s="23"/>
      <c r="Q268" s="23"/>
      <c r="R268" s="172"/>
      <c r="S268" s="172"/>
      <c r="T268" s="172"/>
      <c r="U268" s="172"/>
      <c r="V268" s="20"/>
      <c r="W268" s="24"/>
      <c r="X268" s="24"/>
      <c r="Y268" s="24"/>
      <c r="Z268" s="24"/>
      <c r="AA268" s="24"/>
      <c r="AB268" s="24"/>
      <c r="AC268" s="24"/>
      <c r="AD268" s="24"/>
      <c r="AE268" s="24"/>
      <c r="AF268" s="24"/>
      <c r="AG268" s="24"/>
      <c r="AH268" s="25"/>
      <c r="AI268" s="26"/>
      <c r="AJ268" s="25"/>
      <c r="AK268" s="31"/>
      <c r="AL268" s="24"/>
      <c r="AM268" s="24"/>
      <c r="AN268" s="24"/>
      <c r="AO268" s="24"/>
      <c r="AP268" s="27"/>
      <c r="AQ268" s="28"/>
      <c r="AR268" s="29"/>
      <c r="AS268" s="30"/>
      <c r="AV268" s="316"/>
      <c r="AW268" s="316"/>
      <c r="AX268" s="316"/>
      <c r="AY268" s="316"/>
      <c r="AZ268" s="315"/>
    </row>
    <row r="269" spans="3:52" hidden="1" x14ac:dyDescent="0.25">
      <c r="C269" s="171"/>
      <c r="D269" s="131"/>
      <c r="E269" s="152"/>
      <c r="F269" s="171"/>
      <c r="G269" s="171"/>
      <c r="H269" s="22"/>
      <c r="I269" s="172"/>
      <c r="J269" s="172"/>
      <c r="K269" s="171"/>
      <c r="L269" s="172"/>
      <c r="M269" s="172"/>
      <c r="N269" s="172"/>
      <c r="O269" s="172"/>
      <c r="P269" s="23"/>
      <c r="Q269" s="23"/>
      <c r="R269" s="172"/>
      <c r="S269" s="172"/>
      <c r="T269" s="172"/>
      <c r="U269" s="172"/>
      <c r="V269" s="20"/>
      <c r="W269" s="24"/>
      <c r="X269" s="24"/>
      <c r="Y269" s="24"/>
      <c r="Z269" s="24"/>
      <c r="AA269" s="24"/>
      <c r="AB269" s="24"/>
      <c r="AC269" s="24"/>
      <c r="AD269" s="24"/>
      <c r="AE269" s="24"/>
      <c r="AF269" s="24"/>
      <c r="AG269" s="24"/>
      <c r="AH269" s="25"/>
      <c r="AI269" s="26"/>
      <c r="AJ269" s="25"/>
      <c r="AK269" s="31"/>
      <c r="AL269" s="24"/>
      <c r="AM269" s="24"/>
      <c r="AN269" s="24"/>
      <c r="AO269" s="24"/>
      <c r="AP269" s="27"/>
      <c r="AQ269" s="28"/>
      <c r="AR269" s="29"/>
      <c r="AS269" s="30"/>
      <c r="AV269" s="316"/>
      <c r="AW269" s="316"/>
      <c r="AX269" s="316"/>
      <c r="AY269" s="316"/>
      <c r="AZ269" s="315"/>
    </row>
    <row r="270" spans="3:52" hidden="1" x14ac:dyDescent="0.25">
      <c r="C270" s="171"/>
      <c r="D270" s="131"/>
      <c r="E270" s="152"/>
      <c r="F270" s="171"/>
      <c r="G270" s="171"/>
      <c r="H270" s="22"/>
      <c r="I270" s="172"/>
      <c r="J270" s="172"/>
      <c r="K270" s="171"/>
      <c r="L270" s="172"/>
      <c r="M270" s="172"/>
      <c r="N270" s="172"/>
      <c r="O270" s="172"/>
      <c r="P270" s="23"/>
      <c r="Q270" s="23"/>
      <c r="R270" s="172"/>
      <c r="S270" s="172"/>
      <c r="T270" s="172"/>
      <c r="U270" s="172"/>
      <c r="V270" s="20"/>
      <c r="W270" s="24"/>
      <c r="X270" s="24"/>
      <c r="Y270" s="24"/>
      <c r="Z270" s="24"/>
      <c r="AA270" s="24"/>
      <c r="AB270" s="24"/>
      <c r="AC270" s="24"/>
      <c r="AD270" s="24"/>
      <c r="AE270" s="24"/>
      <c r="AF270" s="24"/>
      <c r="AG270" s="24"/>
      <c r="AH270" s="25"/>
      <c r="AI270" s="26"/>
      <c r="AJ270" s="25"/>
      <c r="AK270" s="31"/>
      <c r="AL270" s="24"/>
      <c r="AM270" s="24"/>
      <c r="AN270" s="24"/>
      <c r="AO270" s="24"/>
      <c r="AP270" s="27"/>
      <c r="AQ270" s="28"/>
      <c r="AR270" s="29"/>
      <c r="AS270" s="30"/>
      <c r="AV270" s="316"/>
      <c r="AW270" s="316"/>
      <c r="AX270" s="316"/>
      <c r="AY270" s="316"/>
      <c r="AZ270" s="315"/>
    </row>
    <row r="271" spans="3:52" hidden="1" x14ac:dyDescent="0.25">
      <c r="C271" s="171"/>
      <c r="D271" s="131"/>
      <c r="E271" s="152"/>
      <c r="F271" s="171"/>
      <c r="G271" s="171"/>
      <c r="H271" s="22"/>
      <c r="I271" s="172"/>
      <c r="J271" s="172"/>
      <c r="K271" s="171"/>
      <c r="L271" s="172"/>
      <c r="M271" s="172"/>
      <c r="N271" s="172"/>
      <c r="O271" s="172"/>
      <c r="P271" s="23"/>
      <c r="Q271" s="23"/>
      <c r="R271" s="172"/>
      <c r="S271" s="172"/>
      <c r="T271" s="172"/>
      <c r="U271" s="172"/>
      <c r="V271" s="20"/>
      <c r="W271" s="24"/>
      <c r="X271" s="24"/>
      <c r="Y271" s="24"/>
      <c r="Z271" s="24"/>
      <c r="AA271" s="24"/>
      <c r="AB271" s="24"/>
      <c r="AC271" s="24"/>
      <c r="AD271" s="24"/>
      <c r="AE271" s="24"/>
      <c r="AF271" s="24"/>
      <c r="AG271" s="24"/>
      <c r="AH271" s="25"/>
      <c r="AI271" s="26"/>
      <c r="AJ271" s="25"/>
      <c r="AK271" s="31"/>
      <c r="AL271" s="24"/>
      <c r="AM271" s="24"/>
      <c r="AN271" s="24"/>
      <c r="AO271" s="24"/>
      <c r="AP271" s="27"/>
      <c r="AQ271" s="28"/>
      <c r="AR271" s="29"/>
      <c r="AS271" s="30"/>
      <c r="AV271" s="316"/>
      <c r="AW271" s="316"/>
      <c r="AX271" s="316"/>
      <c r="AY271" s="316"/>
      <c r="AZ271" s="315"/>
    </row>
    <row r="272" spans="3:52" hidden="1" x14ac:dyDescent="0.25">
      <c r="C272" s="171"/>
      <c r="D272" s="131"/>
      <c r="E272" s="152"/>
      <c r="F272" s="171"/>
      <c r="G272" s="171"/>
      <c r="H272" s="22"/>
      <c r="I272" s="172"/>
      <c r="J272" s="172"/>
      <c r="K272" s="171"/>
      <c r="L272" s="172"/>
      <c r="M272" s="172"/>
      <c r="N272" s="172"/>
      <c r="O272" s="172"/>
      <c r="P272" s="23"/>
      <c r="Q272" s="23"/>
      <c r="R272" s="172"/>
      <c r="S272" s="172"/>
      <c r="T272" s="172"/>
      <c r="U272" s="172"/>
      <c r="V272" s="20"/>
      <c r="W272" s="24"/>
      <c r="X272" s="24"/>
      <c r="Y272" s="24"/>
      <c r="Z272" s="24"/>
      <c r="AA272" s="24"/>
      <c r="AB272" s="24"/>
      <c r="AC272" s="24"/>
      <c r="AD272" s="24"/>
      <c r="AE272" s="24"/>
      <c r="AF272" s="24"/>
      <c r="AG272" s="24"/>
      <c r="AH272" s="25"/>
      <c r="AI272" s="26"/>
      <c r="AJ272" s="25"/>
      <c r="AK272" s="31"/>
      <c r="AL272" s="24"/>
      <c r="AM272" s="24"/>
      <c r="AN272" s="24"/>
      <c r="AO272" s="24"/>
      <c r="AP272" s="27"/>
      <c r="AQ272" s="28"/>
      <c r="AR272" s="29"/>
      <c r="AS272" s="30"/>
      <c r="AV272" s="316"/>
      <c r="AW272" s="316"/>
      <c r="AX272" s="316"/>
      <c r="AY272" s="316"/>
      <c r="AZ272" s="315"/>
    </row>
    <row r="273" spans="3:52" hidden="1" x14ac:dyDescent="0.25">
      <c r="C273" s="171"/>
      <c r="D273" s="131"/>
      <c r="E273" s="152"/>
      <c r="F273" s="171"/>
      <c r="G273" s="171"/>
      <c r="H273" s="22"/>
      <c r="I273" s="172"/>
      <c r="J273" s="172"/>
      <c r="K273" s="171"/>
      <c r="L273" s="172"/>
      <c r="M273" s="172"/>
      <c r="N273" s="172"/>
      <c r="O273" s="172"/>
      <c r="P273" s="23"/>
      <c r="Q273" s="23"/>
      <c r="R273" s="172"/>
      <c r="S273" s="172"/>
      <c r="T273" s="172"/>
      <c r="U273" s="172"/>
      <c r="V273" s="20"/>
      <c r="W273" s="24"/>
      <c r="X273" s="24"/>
      <c r="Y273" s="24"/>
      <c r="Z273" s="24"/>
      <c r="AA273" s="24"/>
      <c r="AB273" s="24"/>
      <c r="AC273" s="24"/>
      <c r="AD273" s="24"/>
      <c r="AE273" s="24"/>
      <c r="AF273" s="24"/>
      <c r="AG273" s="24"/>
      <c r="AH273" s="25"/>
      <c r="AI273" s="26"/>
      <c r="AJ273" s="25"/>
      <c r="AK273" s="31"/>
      <c r="AL273" s="24"/>
      <c r="AM273" s="24"/>
      <c r="AN273" s="24"/>
      <c r="AO273" s="24"/>
      <c r="AP273" s="27"/>
      <c r="AQ273" s="28"/>
      <c r="AR273" s="29"/>
      <c r="AS273" s="30"/>
      <c r="AV273" s="316"/>
      <c r="AW273" s="316"/>
      <c r="AX273" s="316"/>
      <c r="AY273" s="316"/>
      <c r="AZ273" s="315"/>
    </row>
    <row r="274" spans="3:52" hidden="1" x14ac:dyDescent="0.25">
      <c r="C274" s="171"/>
      <c r="D274" s="131"/>
      <c r="E274" s="152"/>
      <c r="F274" s="171"/>
      <c r="G274" s="171"/>
      <c r="H274" s="22"/>
      <c r="I274" s="172"/>
      <c r="J274" s="172"/>
      <c r="K274" s="171"/>
      <c r="L274" s="172"/>
      <c r="M274" s="172"/>
      <c r="N274" s="172"/>
      <c r="O274" s="172"/>
      <c r="P274" s="23"/>
      <c r="Q274" s="23"/>
      <c r="R274" s="172"/>
      <c r="S274" s="172"/>
      <c r="T274" s="172"/>
      <c r="U274" s="172"/>
      <c r="V274" s="20"/>
      <c r="W274" s="24"/>
      <c r="X274" s="24"/>
      <c r="Y274" s="24"/>
      <c r="Z274" s="24"/>
      <c r="AA274" s="24"/>
      <c r="AB274" s="24"/>
      <c r="AC274" s="24"/>
      <c r="AD274" s="24"/>
      <c r="AE274" s="24"/>
      <c r="AF274" s="24"/>
      <c r="AG274" s="24"/>
      <c r="AH274" s="25"/>
      <c r="AI274" s="26"/>
      <c r="AJ274" s="25"/>
      <c r="AK274" s="31"/>
      <c r="AL274" s="24"/>
      <c r="AM274" s="24"/>
      <c r="AN274" s="24"/>
      <c r="AO274" s="24"/>
      <c r="AP274" s="27"/>
      <c r="AQ274" s="28"/>
      <c r="AR274" s="29"/>
      <c r="AS274" s="30"/>
      <c r="AV274" s="316"/>
      <c r="AW274" s="316"/>
      <c r="AX274" s="316"/>
      <c r="AY274" s="316"/>
      <c r="AZ274" s="315"/>
    </row>
    <row r="275" spans="3:52" hidden="1" x14ac:dyDescent="0.25">
      <c r="C275" s="171"/>
      <c r="D275" s="131"/>
      <c r="E275" s="152"/>
      <c r="F275" s="171"/>
      <c r="G275" s="171"/>
      <c r="H275" s="22"/>
      <c r="I275" s="172"/>
      <c r="J275" s="172"/>
      <c r="K275" s="171"/>
      <c r="L275" s="172"/>
      <c r="M275" s="172"/>
      <c r="N275" s="172"/>
      <c r="O275" s="172"/>
      <c r="P275" s="23"/>
      <c r="Q275" s="23"/>
      <c r="R275" s="172"/>
      <c r="S275" s="172"/>
      <c r="T275" s="172"/>
      <c r="U275" s="172"/>
      <c r="V275" s="20"/>
      <c r="W275" s="24"/>
      <c r="X275" s="24"/>
      <c r="Y275" s="24"/>
      <c r="Z275" s="24"/>
      <c r="AA275" s="24"/>
      <c r="AB275" s="24"/>
      <c r="AC275" s="24"/>
      <c r="AD275" s="24"/>
      <c r="AE275" s="24"/>
      <c r="AF275" s="24"/>
      <c r="AG275" s="24"/>
      <c r="AH275" s="25"/>
      <c r="AI275" s="26"/>
      <c r="AJ275" s="25"/>
      <c r="AK275" s="31"/>
      <c r="AL275" s="24"/>
      <c r="AM275" s="24"/>
      <c r="AN275" s="24"/>
      <c r="AO275" s="24"/>
      <c r="AP275" s="27"/>
      <c r="AQ275" s="28"/>
      <c r="AR275" s="29"/>
      <c r="AS275" s="30"/>
      <c r="AV275" s="316"/>
      <c r="AW275" s="316"/>
      <c r="AX275" s="316"/>
      <c r="AY275" s="316"/>
      <c r="AZ275" s="315"/>
    </row>
    <row r="276" spans="3:52" hidden="1" x14ac:dyDescent="0.25">
      <c r="C276" s="171"/>
      <c r="D276" s="131"/>
      <c r="E276" s="152"/>
      <c r="F276" s="171"/>
      <c r="G276" s="171"/>
      <c r="H276" s="22"/>
      <c r="I276" s="172"/>
      <c r="J276" s="172"/>
      <c r="K276" s="171"/>
      <c r="L276" s="172"/>
      <c r="M276" s="172"/>
      <c r="N276" s="172"/>
      <c r="O276" s="172"/>
      <c r="P276" s="23"/>
      <c r="Q276" s="23"/>
      <c r="R276" s="172"/>
      <c r="S276" s="172"/>
      <c r="T276" s="172"/>
      <c r="U276" s="172"/>
      <c r="V276" s="20"/>
      <c r="W276" s="24"/>
      <c r="X276" s="24"/>
      <c r="Y276" s="24"/>
      <c r="Z276" s="24"/>
      <c r="AA276" s="24"/>
      <c r="AB276" s="24"/>
      <c r="AC276" s="24"/>
      <c r="AD276" s="24"/>
      <c r="AE276" s="24"/>
      <c r="AF276" s="24"/>
      <c r="AG276" s="24"/>
      <c r="AH276" s="25"/>
      <c r="AI276" s="26"/>
      <c r="AJ276" s="25"/>
      <c r="AK276" s="31"/>
      <c r="AL276" s="24"/>
      <c r="AM276" s="24"/>
      <c r="AN276" s="24"/>
      <c r="AO276" s="24"/>
      <c r="AP276" s="27"/>
      <c r="AQ276" s="28"/>
      <c r="AR276" s="29"/>
      <c r="AS276" s="30"/>
      <c r="AV276" s="316"/>
      <c r="AW276" s="316"/>
      <c r="AX276" s="316"/>
      <c r="AY276" s="316"/>
      <c r="AZ276" s="315"/>
    </row>
    <row r="277" spans="3:52" hidden="1" x14ac:dyDescent="0.25">
      <c r="C277" s="171"/>
      <c r="D277" s="131"/>
      <c r="E277" s="152"/>
      <c r="F277" s="171"/>
      <c r="G277" s="171"/>
      <c r="H277" s="22"/>
      <c r="I277" s="172"/>
      <c r="J277" s="172"/>
      <c r="K277" s="171"/>
      <c r="L277" s="172"/>
      <c r="M277" s="172"/>
      <c r="N277" s="172"/>
      <c r="O277" s="172"/>
      <c r="P277" s="23"/>
      <c r="Q277" s="23"/>
      <c r="R277" s="172"/>
      <c r="S277" s="172"/>
      <c r="T277" s="172"/>
      <c r="U277" s="172"/>
      <c r="V277" s="20"/>
      <c r="W277" s="24"/>
      <c r="X277" s="24"/>
      <c r="Y277" s="24"/>
      <c r="Z277" s="24"/>
      <c r="AA277" s="24"/>
      <c r="AB277" s="24"/>
      <c r="AC277" s="24"/>
      <c r="AD277" s="24"/>
      <c r="AE277" s="24"/>
      <c r="AF277" s="24"/>
      <c r="AG277" s="24"/>
      <c r="AH277" s="25"/>
      <c r="AI277" s="26"/>
      <c r="AJ277" s="25"/>
      <c r="AK277" s="31"/>
      <c r="AL277" s="24"/>
      <c r="AM277" s="24"/>
      <c r="AN277" s="24"/>
      <c r="AO277" s="24"/>
      <c r="AP277" s="27"/>
      <c r="AQ277" s="28"/>
      <c r="AR277" s="29"/>
      <c r="AS277" s="30"/>
      <c r="AV277" s="316"/>
      <c r="AW277" s="316"/>
      <c r="AX277" s="316"/>
      <c r="AY277" s="316"/>
      <c r="AZ277" s="315"/>
    </row>
    <row r="278" spans="3:52" hidden="1" x14ac:dyDescent="0.25">
      <c r="C278" s="171"/>
      <c r="D278" s="131"/>
      <c r="E278" s="152"/>
      <c r="F278" s="171"/>
      <c r="G278" s="171"/>
      <c r="H278" s="22"/>
      <c r="I278" s="172"/>
      <c r="J278" s="172"/>
      <c r="K278" s="171"/>
      <c r="L278" s="172"/>
      <c r="M278" s="172"/>
      <c r="N278" s="172"/>
      <c r="O278" s="172"/>
      <c r="P278" s="23"/>
      <c r="Q278" s="23"/>
      <c r="R278" s="172"/>
      <c r="S278" s="172"/>
      <c r="T278" s="172"/>
      <c r="U278" s="172"/>
      <c r="V278" s="20"/>
      <c r="W278" s="24"/>
      <c r="X278" s="24"/>
      <c r="Y278" s="24"/>
      <c r="Z278" s="24"/>
      <c r="AA278" s="24"/>
      <c r="AB278" s="24"/>
      <c r="AC278" s="24"/>
      <c r="AD278" s="24"/>
      <c r="AE278" s="24"/>
      <c r="AF278" s="24"/>
      <c r="AG278" s="24"/>
      <c r="AH278" s="25"/>
      <c r="AI278" s="26"/>
      <c r="AJ278" s="25"/>
      <c r="AK278" s="31"/>
      <c r="AL278" s="24"/>
      <c r="AM278" s="24"/>
      <c r="AN278" s="24"/>
      <c r="AO278" s="24"/>
      <c r="AP278" s="27"/>
      <c r="AQ278" s="28"/>
      <c r="AR278" s="29"/>
      <c r="AS278" s="30"/>
      <c r="AV278" s="316"/>
      <c r="AW278" s="316"/>
      <c r="AX278" s="316"/>
      <c r="AY278" s="316"/>
      <c r="AZ278" s="315"/>
    </row>
    <row r="279" spans="3:52" hidden="1" x14ac:dyDescent="0.25">
      <c r="C279" s="171"/>
      <c r="D279" s="131"/>
      <c r="E279" s="152"/>
      <c r="F279" s="171"/>
      <c r="G279" s="171"/>
      <c r="H279" s="22"/>
      <c r="I279" s="172"/>
      <c r="J279" s="172"/>
      <c r="K279" s="171"/>
      <c r="L279" s="172"/>
      <c r="M279" s="172"/>
      <c r="N279" s="172"/>
      <c r="O279" s="172"/>
      <c r="P279" s="23"/>
      <c r="Q279" s="23"/>
      <c r="R279" s="172"/>
      <c r="S279" s="172"/>
      <c r="T279" s="172"/>
      <c r="U279" s="172"/>
      <c r="V279" s="20"/>
      <c r="W279" s="24"/>
      <c r="X279" s="24"/>
      <c r="Y279" s="24"/>
      <c r="Z279" s="24"/>
      <c r="AA279" s="24"/>
      <c r="AB279" s="24"/>
      <c r="AC279" s="24"/>
      <c r="AD279" s="24"/>
      <c r="AE279" s="24"/>
      <c r="AF279" s="24"/>
      <c r="AG279" s="24"/>
      <c r="AH279" s="25"/>
      <c r="AI279" s="26"/>
      <c r="AJ279" s="25"/>
      <c r="AK279" s="31"/>
      <c r="AL279" s="24"/>
      <c r="AM279" s="24"/>
      <c r="AN279" s="24"/>
      <c r="AO279" s="24"/>
      <c r="AP279" s="27"/>
      <c r="AQ279" s="28"/>
      <c r="AR279" s="29"/>
      <c r="AS279" s="30"/>
      <c r="AV279" s="316"/>
      <c r="AW279" s="316"/>
      <c r="AX279" s="316"/>
      <c r="AY279" s="316"/>
      <c r="AZ279" s="315"/>
    </row>
    <row r="280" spans="3:52" hidden="1" x14ac:dyDescent="0.25">
      <c r="C280" s="171"/>
      <c r="D280" s="131"/>
      <c r="E280" s="152"/>
      <c r="F280" s="171"/>
      <c r="G280" s="171"/>
      <c r="H280" s="22"/>
      <c r="I280" s="172"/>
      <c r="J280" s="172"/>
      <c r="K280" s="171"/>
      <c r="L280" s="172"/>
      <c r="M280" s="172"/>
      <c r="N280" s="172"/>
      <c r="O280" s="172"/>
      <c r="P280" s="23"/>
      <c r="Q280" s="23"/>
      <c r="R280" s="172"/>
      <c r="S280" s="172"/>
      <c r="T280" s="172"/>
      <c r="U280" s="172"/>
      <c r="V280" s="20"/>
      <c r="W280" s="24"/>
      <c r="X280" s="24"/>
      <c r="Y280" s="24"/>
      <c r="Z280" s="24"/>
      <c r="AA280" s="24"/>
      <c r="AB280" s="24"/>
      <c r="AC280" s="24"/>
      <c r="AD280" s="24"/>
      <c r="AE280" s="24"/>
      <c r="AF280" s="24"/>
      <c r="AG280" s="24"/>
      <c r="AH280" s="25"/>
      <c r="AI280" s="26"/>
      <c r="AJ280" s="25"/>
      <c r="AK280" s="31"/>
      <c r="AL280" s="24"/>
      <c r="AM280" s="24"/>
      <c r="AN280" s="24"/>
      <c r="AO280" s="24"/>
      <c r="AP280" s="27"/>
      <c r="AQ280" s="28"/>
      <c r="AR280" s="29"/>
      <c r="AS280" s="30"/>
      <c r="AV280" s="316"/>
      <c r="AW280" s="316"/>
      <c r="AX280" s="316"/>
      <c r="AY280" s="316"/>
      <c r="AZ280" s="315"/>
    </row>
    <row r="281" spans="3:52" hidden="1" x14ac:dyDescent="0.25">
      <c r="C281" s="171"/>
      <c r="D281" s="131"/>
      <c r="E281" s="152"/>
      <c r="F281" s="171"/>
      <c r="G281" s="171"/>
      <c r="H281" s="22"/>
      <c r="I281" s="172"/>
      <c r="J281" s="172"/>
      <c r="K281" s="171"/>
      <c r="L281" s="172"/>
      <c r="M281" s="172"/>
      <c r="N281" s="172"/>
      <c r="O281" s="172"/>
      <c r="P281" s="23"/>
      <c r="Q281" s="23"/>
      <c r="R281" s="172"/>
      <c r="S281" s="172"/>
      <c r="T281" s="172"/>
      <c r="U281" s="172"/>
      <c r="V281" s="20"/>
      <c r="W281" s="24"/>
      <c r="X281" s="24"/>
      <c r="Y281" s="24"/>
      <c r="Z281" s="24"/>
      <c r="AA281" s="24"/>
      <c r="AB281" s="24"/>
      <c r="AC281" s="24"/>
      <c r="AD281" s="24"/>
      <c r="AE281" s="24"/>
      <c r="AF281" s="24"/>
      <c r="AG281" s="24"/>
      <c r="AH281" s="25"/>
      <c r="AI281" s="26"/>
      <c r="AJ281" s="25"/>
      <c r="AK281" s="31"/>
      <c r="AL281" s="24"/>
      <c r="AM281" s="24"/>
      <c r="AN281" s="24"/>
      <c r="AO281" s="24"/>
      <c r="AP281" s="27"/>
      <c r="AQ281" s="28"/>
      <c r="AR281" s="29"/>
      <c r="AS281" s="30"/>
      <c r="AV281" s="316"/>
      <c r="AW281" s="316"/>
      <c r="AX281" s="316"/>
      <c r="AY281" s="316"/>
      <c r="AZ281" s="315"/>
    </row>
    <row r="282" spans="3:52" hidden="1" x14ac:dyDescent="0.25">
      <c r="C282" s="171"/>
      <c r="D282" s="131"/>
      <c r="E282" s="152"/>
      <c r="F282" s="171"/>
      <c r="G282" s="171"/>
      <c r="H282" s="22"/>
      <c r="I282" s="172"/>
      <c r="J282" s="172"/>
      <c r="K282" s="171"/>
      <c r="L282" s="172"/>
      <c r="M282" s="172"/>
      <c r="N282" s="172"/>
      <c r="O282" s="172"/>
      <c r="P282" s="23"/>
      <c r="Q282" s="23"/>
      <c r="R282" s="172"/>
      <c r="S282" s="172"/>
      <c r="T282" s="172"/>
      <c r="U282" s="172"/>
      <c r="V282" s="20"/>
      <c r="W282" s="24"/>
      <c r="X282" s="24"/>
      <c r="Y282" s="24"/>
      <c r="Z282" s="24"/>
      <c r="AA282" s="24"/>
      <c r="AB282" s="24"/>
      <c r="AC282" s="24"/>
      <c r="AD282" s="24"/>
      <c r="AE282" s="24"/>
      <c r="AF282" s="24"/>
      <c r="AG282" s="24"/>
      <c r="AH282" s="25"/>
      <c r="AI282" s="26"/>
      <c r="AJ282" s="25"/>
      <c r="AK282" s="31"/>
      <c r="AL282" s="24"/>
      <c r="AM282" s="24"/>
      <c r="AN282" s="24"/>
      <c r="AO282" s="24"/>
      <c r="AP282" s="27"/>
      <c r="AQ282" s="28"/>
      <c r="AR282" s="29"/>
      <c r="AS282" s="30"/>
      <c r="AV282" s="316"/>
      <c r="AW282" s="316"/>
      <c r="AX282" s="316"/>
      <c r="AY282" s="316"/>
      <c r="AZ282" s="315"/>
    </row>
    <row r="283" spans="3:52" hidden="1" x14ac:dyDescent="0.25">
      <c r="C283" s="171"/>
      <c r="D283" s="131"/>
      <c r="E283" s="152"/>
      <c r="F283" s="171"/>
      <c r="G283" s="171"/>
      <c r="H283" s="22"/>
      <c r="I283" s="172"/>
      <c r="J283" s="172"/>
      <c r="K283" s="171"/>
      <c r="L283" s="172"/>
      <c r="M283" s="172"/>
      <c r="N283" s="172"/>
      <c r="O283" s="172"/>
      <c r="P283" s="23"/>
      <c r="Q283" s="23"/>
      <c r="R283" s="172"/>
      <c r="S283" s="172"/>
      <c r="T283" s="172"/>
      <c r="U283" s="172"/>
      <c r="V283" s="20"/>
      <c r="W283" s="24"/>
      <c r="X283" s="24"/>
      <c r="Y283" s="24"/>
      <c r="Z283" s="24"/>
      <c r="AA283" s="24"/>
      <c r="AB283" s="24"/>
      <c r="AC283" s="24"/>
      <c r="AD283" s="24"/>
      <c r="AE283" s="24"/>
      <c r="AF283" s="24"/>
      <c r="AG283" s="24"/>
      <c r="AH283" s="25"/>
      <c r="AI283" s="26"/>
      <c r="AJ283" s="25"/>
      <c r="AK283" s="31"/>
      <c r="AL283" s="24"/>
      <c r="AM283" s="24"/>
      <c r="AN283" s="24"/>
      <c r="AO283" s="24"/>
      <c r="AP283" s="27"/>
      <c r="AQ283" s="28"/>
      <c r="AR283" s="29"/>
      <c r="AS283" s="30"/>
      <c r="AV283" s="316"/>
      <c r="AW283" s="316"/>
      <c r="AX283" s="316"/>
      <c r="AY283" s="316"/>
      <c r="AZ283" s="315"/>
    </row>
    <row r="284" spans="3:52" hidden="1" x14ac:dyDescent="0.25">
      <c r="C284" s="171"/>
      <c r="D284" s="131"/>
      <c r="E284" s="152"/>
      <c r="F284" s="171"/>
      <c r="G284" s="171"/>
      <c r="H284" s="22"/>
      <c r="I284" s="172"/>
      <c r="J284" s="172"/>
      <c r="K284" s="171"/>
      <c r="L284" s="172"/>
      <c r="M284" s="172"/>
      <c r="N284" s="172"/>
      <c r="O284" s="172"/>
      <c r="P284" s="23"/>
      <c r="Q284" s="23"/>
      <c r="R284" s="172"/>
      <c r="S284" s="172"/>
      <c r="T284" s="172"/>
      <c r="U284" s="172"/>
      <c r="V284" s="20"/>
      <c r="W284" s="24"/>
      <c r="X284" s="24"/>
      <c r="Y284" s="24"/>
      <c r="Z284" s="24"/>
      <c r="AA284" s="24"/>
      <c r="AB284" s="24"/>
      <c r="AC284" s="24"/>
      <c r="AD284" s="24"/>
      <c r="AE284" s="24"/>
      <c r="AF284" s="24"/>
      <c r="AG284" s="24"/>
      <c r="AH284" s="25"/>
      <c r="AI284" s="26"/>
      <c r="AJ284" s="25"/>
      <c r="AK284" s="31"/>
      <c r="AL284" s="24"/>
      <c r="AM284" s="24"/>
      <c r="AN284" s="24"/>
      <c r="AO284" s="24"/>
      <c r="AP284" s="27"/>
      <c r="AQ284" s="28"/>
      <c r="AR284" s="29"/>
      <c r="AS284" s="30"/>
      <c r="AV284" s="316"/>
      <c r="AW284" s="316"/>
      <c r="AX284" s="316"/>
      <c r="AY284" s="316"/>
      <c r="AZ284" s="315"/>
    </row>
    <row r="285" spans="3:52" hidden="1" x14ac:dyDescent="0.25">
      <c r="C285" s="171"/>
      <c r="D285" s="131"/>
      <c r="E285" s="152"/>
      <c r="F285" s="171"/>
      <c r="G285" s="171"/>
      <c r="H285" s="22"/>
      <c r="I285" s="172"/>
      <c r="J285" s="172"/>
      <c r="K285" s="171"/>
      <c r="L285" s="172"/>
      <c r="M285" s="172"/>
      <c r="N285" s="172"/>
      <c r="O285" s="172"/>
      <c r="P285" s="23"/>
      <c r="Q285" s="23"/>
      <c r="R285" s="172"/>
      <c r="S285" s="172"/>
      <c r="T285" s="172"/>
      <c r="U285" s="172"/>
      <c r="V285" s="20"/>
      <c r="W285" s="24"/>
      <c r="X285" s="24"/>
      <c r="Y285" s="24"/>
      <c r="Z285" s="24"/>
      <c r="AA285" s="24"/>
      <c r="AB285" s="24"/>
      <c r="AC285" s="24"/>
      <c r="AD285" s="24"/>
      <c r="AE285" s="24"/>
      <c r="AF285" s="24"/>
      <c r="AG285" s="24"/>
      <c r="AH285" s="25"/>
      <c r="AI285" s="26"/>
      <c r="AJ285" s="25"/>
      <c r="AK285" s="31"/>
      <c r="AL285" s="24"/>
      <c r="AM285" s="24"/>
      <c r="AN285" s="24"/>
      <c r="AO285" s="24"/>
      <c r="AP285" s="27"/>
      <c r="AQ285" s="28"/>
      <c r="AR285" s="29"/>
      <c r="AS285" s="30"/>
      <c r="AV285" s="316"/>
      <c r="AW285" s="316"/>
      <c r="AX285" s="316"/>
      <c r="AY285" s="316"/>
      <c r="AZ285" s="315"/>
    </row>
    <row r="286" spans="3:52" hidden="1" x14ac:dyDescent="0.25">
      <c r="C286" s="171"/>
      <c r="D286" s="131"/>
      <c r="E286" s="152"/>
      <c r="F286" s="171"/>
      <c r="G286" s="171"/>
      <c r="H286" s="22"/>
      <c r="I286" s="172"/>
      <c r="J286" s="172"/>
      <c r="K286" s="171"/>
      <c r="L286" s="172"/>
      <c r="M286" s="172"/>
      <c r="N286" s="172"/>
      <c r="O286" s="172"/>
      <c r="P286" s="23"/>
      <c r="Q286" s="23"/>
      <c r="R286" s="172"/>
      <c r="S286" s="172"/>
      <c r="T286" s="172"/>
      <c r="U286" s="172"/>
      <c r="V286" s="20"/>
      <c r="W286" s="24"/>
      <c r="X286" s="24"/>
      <c r="Y286" s="24"/>
      <c r="Z286" s="24"/>
      <c r="AA286" s="24"/>
      <c r="AB286" s="24"/>
      <c r="AC286" s="24"/>
      <c r="AD286" s="24"/>
      <c r="AE286" s="24"/>
      <c r="AF286" s="24"/>
      <c r="AG286" s="24"/>
      <c r="AH286" s="25"/>
      <c r="AI286" s="26"/>
      <c r="AJ286" s="25"/>
      <c r="AK286" s="31"/>
      <c r="AL286" s="24"/>
      <c r="AM286" s="24"/>
      <c r="AN286" s="24"/>
      <c r="AO286" s="24"/>
      <c r="AP286" s="27"/>
      <c r="AQ286" s="28"/>
      <c r="AR286" s="29"/>
      <c r="AS286" s="30"/>
      <c r="AV286" s="316"/>
      <c r="AW286" s="316"/>
      <c r="AX286" s="316"/>
      <c r="AY286" s="316"/>
      <c r="AZ286" s="315"/>
    </row>
    <row r="287" spans="3:52" hidden="1" x14ac:dyDescent="0.25">
      <c r="C287" s="171"/>
      <c r="D287" s="131"/>
      <c r="E287" s="152"/>
      <c r="F287" s="171"/>
      <c r="G287" s="171"/>
      <c r="H287" s="22"/>
      <c r="I287" s="172"/>
      <c r="J287" s="172"/>
      <c r="K287" s="171"/>
      <c r="L287" s="172"/>
      <c r="M287" s="172"/>
      <c r="N287" s="172"/>
      <c r="O287" s="172"/>
      <c r="P287" s="23"/>
      <c r="Q287" s="23"/>
      <c r="R287" s="172"/>
      <c r="S287" s="172"/>
      <c r="T287" s="172"/>
      <c r="U287" s="172"/>
      <c r="V287" s="20"/>
      <c r="W287" s="24"/>
      <c r="X287" s="24"/>
      <c r="Y287" s="24"/>
      <c r="Z287" s="24"/>
      <c r="AA287" s="24"/>
      <c r="AB287" s="24"/>
      <c r="AC287" s="24"/>
      <c r="AD287" s="24"/>
      <c r="AE287" s="24"/>
      <c r="AF287" s="24"/>
      <c r="AG287" s="24"/>
      <c r="AH287" s="25"/>
      <c r="AI287" s="26"/>
      <c r="AJ287" s="25"/>
      <c r="AK287" s="31"/>
      <c r="AL287" s="24"/>
      <c r="AM287" s="24"/>
      <c r="AN287" s="24"/>
      <c r="AO287" s="24"/>
      <c r="AP287" s="27"/>
      <c r="AQ287" s="28"/>
      <c r="AR287" s="29"/>
      <c r="AS287" s="30"/>
      <c r="AV287" s="316"/>
      <c r="AW287" s="316"/>
      <c r="AX287" s="316"/>
      <c r="AY287" s="316"/>
      <c r="AZ287" s="315"/>
    </row>
    <row r="288" spans="3:52" hidden="1" x14ac:dyDescent="0.25">
      <c r="C288" s="171"/>
      <c r="D288" s="131"/>
      <c r="E288" s="152"/>
      <c r="F288" s="171"/>
      <c r="G288" s="171"/>
      <c r="H288" s="22"/>
      <c r="I288" s="172"/>
      <c r="J288" s="172"/>
      <c r="K288" s="171"/>
      <c r="L288" s="172"/>
      <c r="M288" s="172"/>
      <c r="N288" s="172"/>
      <c r="O288" s="172"/>
      <c r="P288" s="23"/>
      <c r="Q288" s="23"/>
      <c r="R288" s="172"/>
      <c r="S288" s="172"/>
      <c r="T288" s="172"/>
      <c r="U288" s="172"/>
      <c r="V288" s="20"/>
      <c r="W288" s="24"/>
      <c r="X288" s="24"/>
      <c r="Y288" s="24"/>
      <c r="Z288" s="24"/>
      <c r="AA288" s="24"/>
      <c r="AB288" s="24"/>
      <c r="AC288" s="24"/>
      <c r="AD288" s="24"/>
      <c r="AE288" s="24"/>
      <c r="AF288" s="24"/>
      <c r="AG288" s="24"/>
      <c r="AH288" s="25"/>
      <c r="AI288" s="26"/>
      <c r="AJ288" s="25"/>
      <c r="AK288" s="31"/>
      <c r="AL288" s="24"/>
      <c r="AM288" s="24"/>
      <c r="AN288" s="24"/>
      <c r="AO288" s="24"/>
      <c r="AP288" s="27"/>
      <c r="AQ288" s="28"/>
      <c r="AR288" s="29"/>
      <c r="AS288" s="30"/>
      <c r="AV288" s="316"/>
      <c r="AW288" s="316"/>
      <c r="AX288" s="316"/>
      <c r="AY288" s="316"/>
      <c r="AZ288" s="315"/>
    </row>
    <row r="289" spans="3:52" hidden="1" x14ac:dyDescent="0.25">
      <c r="C289" s="171"/>
      <c r="D289" s="131"/>
      <c r="E289" s="152"/>
      <c r="F289" s="171"/>
      <c r="G289" s="171"/>
      <c r="H289" s="22"/>
      <c r="I289" s="172"/>
      <c r="J289" s="172"/>
      <c r="K289" s="171"/>
      <c r="L289" s="172"/>
      <c r="M289" s="172"/>
      <c r="N289" s="172"/>
      <c r="O289" s="172"/>
      <c r="P289" s="23"/>
      <c r="Q289" s="23"/>
      <c r="R289" s="172"/>
      <c r="S289" s="172"/>
      <c r="T289" s="172"/>
      <c r="U289" s="172"/>
      <c r="V289" s="20"/>
      <c r="W289" s="24"/>
      <c r="X289" s="24"/>
      <c r="Y289" s="24"/>
      <c r="Z289" s="24"/>
      <c r="AA289" s="24"/>
      <c r="AB289" s="24"/>
      <c r="AC289" s="24"/>
      <c r="AD289" s="24"/>
      <c r="AE289" s="24"/>
      <c r="AF289" s="24"/>
      <c r="AG289" s="24"/>
      <c r="AH289" s="25"/>
      <c r="AI289" s="26"/>
      <c r="AJ289" s="25"/>
      <c r="AK289" s="31"/>
      <c r="AL289" s="24"/>
      <c r="AM289" s="24"/>
      <c r="AN289" s="24"/>
      <c r="AO289" s="24"/>
      <c r="AP289" s="27"/>
      <c r="AQ289" s="28"/>
      <c r="AR289" s="29"/>
      <c r="AS289" s="30"/>
      <c r="AV289" s="316"/>
      <c r="AW289" s="316"/>
      <c r="AX289" s="316"/>
      <c r="AY289" s="316"/>
      <c r="AZ289" s="315"/>
    </row>
    <row r="290" spans="3:52" hidden="1" x14ac:dyDescent="0.25">
      <c r="C290" s="171"/>
      <c r="D290" s="131"/>
      <c r="E290" s="152"/>
      <c r="F290" s="171"/>
      <c r="G290" s="171"/>
      <c r="H290" s="22"/>
      <c r="I290" s="172"/>
      <c r="J290" s="172"/>
      <c r="K290" s="171"/>
      <c r="L290" s="172"/>
      <c r="M290" s="172"/>
      <c r="N290" s="172"/>
      <c r="O290" s="172"/>
      <c r="P290" s="23"/>
      <c r="Q290" s="23"/>
      <c r="R290" s="172"/>
      <c r="S290" s="172"/>
      <c r="T290" s="172"/>
      <c r="U290" s="172"/>
      <c r="V290" s="20"/>
      <c r="W290" s="24"/>
      <c r="X290" s="24"/>
      <c r="Y290" s="24"/>
      <c r="Z290" s="24"/>
      <c r="AA290" s="24"/>
      <c r="AB290" s="24"/>
      <c r="AC290" s="24"/>
      <c r="AD290" s="24"/>
      <c r="AE290" s="24"/>
      <c r="AF290" s="24"/>
      <c r="AG290" s="24"/>
      <c r="AH290" s="25"/>
      <c r="AI290" s="26"/>
      <c r="AJ290" s="25"/>
      <c r="AK290" s="31"/>
      <c r="AL290" s="24"/>
      <c r="AM290" s="24"/>
      <c r="AN290" s="24"/>
      <c r="AO290" s="24"/>
      <c r="AP290" s="27"/>
      <c r="AQ290" s="28"/>
      <c r="AR290" s="29"/>
      <c r="AS290" s="30"/>
      <c r="AV290" s="316"/>
      <c r="AW290" s="316"/>
      <c r="AX290" s="316"/>
      <c r="AY290" s="316"/>
      <c r="AZ290" s="315"/>
    </row>
    <row r="291" spans="3:52" hidden="1" x14ac:dyDescent="0.25">
      <c r="C291" s="171"/>
      <c r="D291" s="131"/>
      <c r="E291" s="152"/>
      <c r="F291" s="171"/>
      <c r="G291" s="171"/>
      <c r="H291" s="22"/>
      <c r="I291" s="172"/>
      <c r="J291" s="172"/>
      <c r="K291" s="171"/>
      <c r="L291" s="172"/>
      <c r="M291" s="172"/>
      <c r="N291" s="172"/>
      <c r="O291" s="172"/>
      <c r="P291" s="23"/>
      <c r="Q291" s="23"/>
      <c r="R291" s="172"/>
      <c r="S291" s="172"/>
      <c r="T291" s="172"/>
      <c r="U291" s="172"/>
      <c r="V291" s="20"/>
      <c r="W291" s="24"/>
      <c r="X291" s="24"/>
      <c r="Y291" s="24"/>
      <c r="Z291" s="24"/>
      <c r="AA291" s="24"/>
      <c r="AB291" s="24"/>
      <c r="AC291" s="24"/>
      <c r="AD291" s="24"/>
      <c r="AE291" s="24"/>
      <c r="AF291" s="24"/>
      <c r="AG291" s="24"/>
      <c r="AH291" s="25"/>
      <c r="AI291" s="26"/>
      <c r="AJ291" s="25"/>
      <c r="AK291" s="31"/>
      <c r="AL291" s="24"/>
      <c r="AM291" s="24"/>
      <c r="AN291" s="24"/>
      <c r="AO291" s="24"/>
      <c r="AP291" s="27"/>
      <c r="AQ291" s="28"/>
      <c r="AR291" s="29"/>
      <c r="AS291" s="30"/>
      <c r="AV291" s="316"/>
      <c r="AW291" s="316"/>
      <c r="AX291" s="316"/>
      <c r="AY291" s="316"/>
      <c r="AZ291" s="315"/>
    </row>
    <row r="292" spans="3:52" hidden="1" x14ac:dyDescent="0.25">
      <c r="C292" s="171"/>
      <c r="D292" s="131"/>
      <c r="E292" s="152"/>
      <c r="F292" s="171"/>
      <c r="G292" s="171"/>
      <c r="H292" s="22"/>
      <c r="I292" s="172"/>
      <c r="J292" s="172"/>
      <c r="K292" s="171"/>
      <c r="L292" s="172"/>
      <c r="M292" s="172"/>
      <c r="N292" s="172"/>
      <c r="O292" s="172"/>
      <c r="P292" s="23"/>
      <c r="Q292" s="23"/>
      <c r="R292" s="172"/>
      <c r="S292" s="172"/>
      <c r="T292" s="172"/>
      <c r="U292" s="172"/>
      <c r="V292" s="20"/>
      <c r="W292" s="24"/>
      <c r="X292" s="24"/>
      <c r="Y292" s="24"/>
      <c r="Z292" s="24"/>
      <c r="AA292" s="24"/>
      <c r="AB292" s="24"/>
      <c r="AC292" s="24"/>
      <c r="AD292" s="24"/>
      <c r="AE292" s="24"/>
      <c r="AF292" s="24"/>
      <c r="AG292" s="24"/>
      <c r="AH292" s="25"/>
      <c r="AI292" s="26"/>
      <c r="AJ292" s="25"/>
      <c r="AK292" s="31"/>
      <c r="AL292" s="24"/>
      <c r="AM292" s="24"/>
      <c r="AN292" s="24"/>
      <c r="AO292" s="24"/>
      <c r="AP292" s="27"/>
      <c r="AQ292" s="28"/>
      <c r="AR292" s="29"/>
      <c r="AS292" s="30"/>
      <c r="AV292" s="316"/>
      <c r="AW292" s="316"/>
      <c r="AX292" s="316"/>
      <c r="AY292" s="316"/>
      <c r="AZ292" s="315"/>
    </row>
    <row r="293" spans="3:52" hidden="1" x14ac:dyDescent="0.25">
      <c r="C293" s="171"/>
      <c r="D293" s="131"/>
      <c r="E293" s="152"/>
      <c r="F293" s="171"/>
      <c r="G293" s="171"/>
      <c r="H293" s="22"/>
      <c r="I293" s="172"/>
      <c r="J293" s="172"/>
      <c r="K293" s="171"/>
      <c r="L293" s="172"/>
      <c r="M293" s="172"/>
      <c r="N293" s="172"/>
      <c r="O293" s="172"/>
      <c r="P293" s="23"/>
      <c r="Q293" s="23"/>
      <c r="R293" s="172"/>
      <c r="S293" s="172"/>
      <c r="T293" s="172"/>
      <c r="U293" s="172"/>
      <c r="V293" s="20"/>
      <c r="W293" s="24"/>
      <c r="X293" s="24"/>
      <c r="Y293" s="24"/>
      <c r="Z293" s="24"/>
      <c r="AA293" s="24"/>
      <c r="AB293" s="24"/>
      <c r="AC293" s="24"/>
      <c r="AD293" s="24"/>
      <c r="AE293" s="24"/>
      <c r="AF293" s="24"/>
      <c r="AG293" s="24"/>
      <c r="AH293" s="25"/>
      <c r="AI293" s="26"/>
      <c r="AJ293" s="25"/>
      <c r="AK293" s="31"/>
      <c r="AL293" s="24"/>
      <c r="AM293" s="24"/>
      <c r="AN293" s="24"/>
      <c r="AO293" s="24"/>
      <c r="AP293" s="27"/>
      <c r="AQ293" s="28"/>
      <c r="AR293" s="29"/>
      <c r="AS293" s="30"/>
      <c r="AV293" s="316"/>
      <c r="AW293" s="316"/>
      <c r="AX293" s="316"/>
      <c r="AY293" s="316"/>
      <c r="AZ293" s="315"/>
    </row>
    <row r="294" spans="3:52" hidden="1" x14ac:dyDescent="0.25">
      <c r="C294" s="171"/>
      <c r="D294" s="131"/>
      <c r="E294" s="152"/>
      <c r="F294" s="171"/>
      <c r="G294" s="171"/>
      <c r="H294" s="22"/>
      <c r="I294" s="172"/>
      <c r="J294" s="172"/>
      <c r="K294" s="171"/>
      <c r="L294" s="172"/>
      <c r="M294" s="172"/>
      <c r="N294" s="172"/>
      <c r="O294" s="172"/>
      <c r="P294" s="23"/>
      <c r="Q294" s="23"/>
      <c r="R294" s="172"/>
      <c r="S294" s="172"/>
      <c r="T294" s="172"/>
      <c r="U294" s="172"/>
      <c r="V294" s="20"/>
      <c r="W294" s="24"/>
      <c r="X294" s="24"/>
      <c r="Y294" s="24"/>
      <c r="Z294" s="24"/>
      <c r="AA294" s="24"/>
      <c r="AB294" s="24"/>
      <c r="AC294" s="24"/>
      <c r="AD294" s="24"/>
      <c r="AE294" s="24"/>
      <c r="AF294" s="24"/>
      <c r="AG294" s="24"/>
      <c r="AH294" s="25"/>
      <c r="AI294" s="26"/>
      <c r="AJ294" s="25"/>
      <c r="AK294" s="31"/>
      <c r="AL294" s="24"/>
      <c r="AM294" s="24"/>
      <c r="AN294" s="24"/>
      <c r="AO294" s="24"/>
      <c r="AP294" s="27"/>
      <c r="AQ294" s="28"/>
      <c r="AR294" s="29"/>
      <c r="AS294" s="30"/>
      <c r="AV294" s="316"/>
      <c r="AW294" s="316"/>
      <c r="AX294" s="316"/>
      <c r="AY294" s="316"/>
      <c r="AZ294" s="315"/>
    </row>
    <row r="295" spans="3:52" hidden="1" x14ac:dyDescent="0.25">
      <c r="C295" s="171"/>
      <c r="D295" s="131"/>
      <c r="E295" s="152"/>
      <c r="F295" s="171"/>
      <c r="G295" s="171"/>
      <c r="H295" s="22"/>
      <c r="I295" s="172"/>
      <c r="J295" s="172"/>
      <c r="K295" s="171"/>
      <c r="L295" s="172"/>
      <c r="M295" s="172"/>
      <c r="N295" s="172"/>
      <c r="O295" s="172"/>
      <c r="P295" s="23"/>
      <c r="Q295" s="23"/>
      <c r="R295" s="172"/>
      <c r="S295" s="172"/>
      <c r="T295" s="172"/>
      <c r="U295" s="172"/>
      <c r="V295" s="20"/>
      <c r="W295" s="24"/>
      <c r="X295" s="24"/>
      <c r="Y295" s="24"/>
      <c r="Z295" s="24"/>
      <c r="AA295" s="24"/>
      <c r="AB295" s="24"/>
      <c r="AC295" s="24"/>
      <c r="AD295" s="24"/>
      <c r="AE295" s="24"/>
      <c r="AF295" s="24"/>
      <c r="AG295" s="24"/>
      <c r="AH295" s="25"/>
      <c r="AI295" s="26"/>
      <c r="AJ295" s="25"/>
      <c r="AK295" s="31"/>
      <c r="AL295" s="24"/>
      <c r="AM295" s="24"/>
      <c r="AN295" s="24"/>
      <c r="AO295" s="24"/>
      <c r="AP295" s="27"/>
      <c r="AQ295" s="28"/>
      <c r="AR295" s="29"/>
      <c r="AS295" s="30"/>
      <c r="AV295" s="316"/>
      <c r="AW295" s="316"/>
      <c r="AX295" s="316"/>
      <c r="AY295" s="316"/>
      <c r="AZ295" s="315"/>
    </row>
    <row r="296" spans="3:52" hidden="1" x14ac:dyDescent="0.25">
      <c r="C296" s="171"/>
      <c r="D296" s="131"/>
      <c r="E296" s="152"/>
      <c r="F296" s="171"/>
      <c r="G296" s="171"/>
      <c r="H296" s="22"/>
      <c r="I296" s="172"/>
      <c r="J296" s="172"/>
      <c r="K296" s="171"/>
      <c r="L296" s="172"/>
      <c r="M296" s="172"/>
      <c r="N296" s="172"/>
      <c r="O296" s="172"/>
      <c r="P296" s="23"/>
      <c r="Q296" s="23"/>
      <c r="R296" s="172"/>
      <c r="S296" s="172"/>
      <c r="T296" s="172"/>
      <c r="U296" s="172"/>
      <c r="V296" s="20"/>
      <c r="W296" s="24"/>
      <c r="X296" s="24"/>
      <c r="Y296" s="24"/>
      <c r="Z296" s="24"/>
      <c r="AA296" s="24"/>
      <c r="AB296" s="24"/>
      <c r="AC296" s="24"/>
      <c r="AD296" s="24"/>
      <c r="AE296" s="24"/>
      <c r="AF296" s="24"/>
      <c r="AG296" s="24"/>
      <c r="AH296" s="25"/>
      <c r="AI296" s="26"/>
      <c r="AJ296" s="25"/>
      <c r="AK296" s="31"/>
      <c r="AL296" s="24"/>
      <c r="AM296" s="24"/>
      <c r="AN296" s="24"/>
      <c r="AO296" s="24"/>
      <c r="AP296" s="27"/>
      <c r="AQ296" s="28"/>
      <c r="AR296" s="29"/>
      <c r="AS296" s="30"/>
      <c r="AV296" s="316"/>
      <c r="AW296" s="316"/>
      <c r="AX296" s="316"/>
      <c r="AY296" s="316"/>
      <c r="AZ296" s="315"/>
    </row>
    <row r="297" spans="3:52" hidden="1" x14ac:dyDescent="0.25">
      <c r="C297" s="171"/>
      <c r="D297" s="131"/>
      <c r="E297" s="152"/>
      <c r="F297" s="171"/>
      <c r="G297" s="171"/>
      <c r="H297" s="22"/>
      <c r="I297" s="172"/>
      <c r="J297" s="172"/>
      <c r="K297" s="171"/>
      <c r="L297" s="172"/>
      <c r="M297" s="172"/>
      <c r="N297" s="172"/>
      <c r="O297" s="172"/>
      <c r="P297" s="23"/>
      <c r="Q297" s="23"/>
      <c r="R297" s="172"/>
      <c r="S297" s="172"/>
      <c r="T297" s="172"/>
      <c r="U297" s="172"/>
      <c r="V297" s="20"/>
      <c r="W297" s="24"/>
      <c r="X297" s="24"/>
      <c r="Y297" s="24"/>
      <c r="Z297" s="24"/>
      <c r="AA297" s="24"/>
      <c r="AB297" s="24"/>
      <c r="AC297" s="24"/>
      <c r="AD297" s="24"/>
      <c r="AE297" s="24"/>
      <c r="AF297" s="24"/>
      <c r="AG297" s="24"/>
      <c r="AH297" s="25"/>
      <c r="AI297" s="26"/>
      <c r="AJ297" s="25"/>
      <c r="AK297" s="31"/>
      <c r="AL297" s="24"/>
      <c r="AM297" s="24"/>
      <c r="AN297" s="24"/>
      <c r="AO297" s="24"/>
      <c r="AP297" s="27"/>
      <c r="AQ297" s="28"/>
      <c r="AR297" s="29"/>
      <c r="AS297" s="30"/>
      <c r="AV297" s="316"/>
      <c r="AW297" s="316"/>
      <c r="AX297" s="316"/>
      <c r="AY297" s="316"/>
      <c r="AZ297" s="315"/>
    </row>
    <row r="298" spans="3:52" hidden="1" x14ac:dyDescent="0.25">
      <c r="C298" s="171"/>
      <c r="D298" s="131"/>
      <c r="E298" s="152"/>
      <c r="F298" s="171"/>
      <c r="G298" s="171"/>
      <c r="H298" s="22"/>
      <c r="I298" s="172"/>
      <c r="J298" s="172"/>
      <c r="K298" s="171"/>
      <c r="L298" s="172"/>
      <c r="M298" s="172"/>
      <c r="N298" s="172"/>
      <c r="O298" s="172"/>
      <c r="P298" s="23"/>
      <c r="Q298" s="23"/>
      <c r="R298" s="172"/>
      <c r="S298" s="172"/>
      <c r="T298" s="172"/>
      <c r="U298" s="172"/>
      <c r="V298" s="20"/>
      <c r="W298" s="24"/>
      <c r="X298" s="24"/>
      <c r="Y298" s="24"/>
      <c r="Z298" s="24"/>
      <c r="AA298" s="24"/>
      <c r="AB298" s="24"/>
      <c r="AC298" s="24"/>
      <c r="AD298" s="24"/>
      <c r="AE298" s="24"/>
      <c r="AF298" s="24"/>
      <c r="AG298" s="24"/>
      <c r="AH298" s="25"/>
      <c r="AI298" s="26"/>
      <c r="AJ298" s="25"/>
      <c r="AK298" s="31"/>
      <c r="AL298" s="24"/>
      <c r="AM298" s="24"/>
      <c r="AN298" s="24"/>
      <c r="AO298" s="24"/>
      <c r="AP298" s="27"/>
      <c r="AQ298" s="28"/>
      <c r="AR298" s="29"/>
      <c r="AS298" s="30"/>
      <c r="AV298" s="316"/>
      <c r="AW298" s="316"/>
      <c r="AX298" s="316"/>
      <c r="AY298" s="316"/>
      <c r="AZ298" s="315"/>
    </row>
    <row r="299" spans="3:52" hidden="1" x14ac:dyDescent="0.25">
      <c r="C299" s="171"/>
      <c r="D299" s="131"/>
      <c r="E299" s="152"/>
      <c r="F299" s="171"/>
      <c r="G299" s="171"/>
      <c r="H299" s="22"/>
      <c r="I299" s="172"/>
      <c r="J299" s="172"/>
      <c r="K299" s="171"/>
      <c r="L299" s="172"/>
      <c r="M299" s="172"/>
      <c r="N299" s="172"/>
      <c r="O299" s="172"/>
      <c r="P299" s="23"/>
      <c r="Q299" s="23"/>
      <c r="R299" s="172"/>
      <c r="S299" s="172"/>
      <c r="T299" s="172"/>
      <c r="U299" s="172"/>
      <c r="V299" s="20"/>
      <c r="W299" s="24"/>
      <c r="X299" s="24"/>
      <c r="Y299" s="24"/>
      <c r="Z299" s="24"/>
      <c r="AA299" s="24"/>
      <c r="AB299" s="24"/>
      <c r="AC299" s="24"/>
      <c r="AD299" s="24"/>
      <c r="AE299" s="24"/>
      <c r="AF299" s="24"/>
      <c r="AG299" s="24"/>
      <c r="AH299" s="25"/>
      <c r="AI299" s="26"/>
      <c r="AJ299" s="25"/>
      <c r="AK299" s="31"/>
      <c r="AL299" s="24"/>
      <c r="AM299" s="24"/>
      <c r="AN299" s="24"/>
      <c r="AO299" s="24"/>
      <c r="AP299" s="27"/>
      <c r="AQ299" s="28"/>
      <c r="AR299" s="29"/>
      <c r="AS299" s="30"/>
      <c r="AV299" s="316"/>
      <c r="AW299" s="316"/>
      <c r="AX299" s="316"/>
      <c r="AY299" s="316"/>
      <c r="AZ299" s="315"/>
    </row>
    <row r="300" spans="3:52" hidden="1" x14ac:dyDescent="0.25">
      <c r="C300" s="171"/>
      <c r="D300" s="131"/>
      <c r="E300" s="152"/>
      <c r="F300" s="171"/>
      <c r="G300" s="171"/>
      <c r="H300" s="22"/>
      <c r="I300" s="172"/>
      <c r="J300" s="172"/>
      <c r="K300" s="171"/>
      <c r="L300" s="172"/>
      <c r="M300" s="172"/>
      <c r="N300" s="172"/>
      <c r="O300" s="172"/>
      <c r="P300" s="23"/>
      <c r="Q300" s="23"/>
      <c r="R300" s="172"/>
      <c r="S300" s="172"/>
      <c r="T300" s="172"/>
      <c r="U300" s="172"/>
      <c r="V300" s="20"/>
      <c r="W300" s="24"/>
      <c r="X300" s="24"/>
      <c r="Y300" s="24"/>
      <c r="Z300" s="24"/>
      <c r="AA300" s="24"/>
      <c r="AB300" s="24"/>
      <c r="AC300" s="24"/>
      <c r="AD300" s="24"/>
      <c r="AE300" s="24"/>
      <c r="AF300" s="24"/>
      <c r="AG300" s="24"/>
      <c r="AH300" s="25"/>
      <c r="AI300" s="26"/>
      <c r="AJ300" s="25"/>
      <c r="AK300" s="31"/>
      <c r="AL300" s="24"/>
      <c r="AM300" s="24"/>
      <c r="AN300" s="24"/>
      <c r="AO300" s="24"/>
      <c r="AP300" s="27"/>
      <c r="AQ300" s="28"/>
      <c r="AR300" s="29"/>
      <c r="AS300" s="30"/>
      <c r="AV300" s="316"/>
      <c r="AW300" s="316"/>
      <c r="AX300" s="316"/>
      <c r="AY300" s="316"/>
      <c r="AZ300" s="315"/>
    </row>
    <row r="301" spans="3:52" hidden="1" x14ac:dyDescent="0.25">
      <c r="C301" s="171"/>
      <c r="D301" s="131"/>
      <c r="E301" s="152"/>
      <c r="F301" s="171"/>
      <c r="G301" s="171"/>
      <c r="H301" s="22"/>
      <c r="I301" s="172"/>
      <c r="J301" s="172"/>
      <c r="K301" s="171"/>
      <c r="L301" s="172"/>
      <c r="M301" s="172"/>
      <c r="N301" s="172"/>
      <c r="O301" s="172"/>
      <c r="P301" s="23"/>
      <c r="Q301" s="23"/>
      <c r="R301" s="172"/>
      <c r="S301" s="172"/>
      <c r="T301" s="172"/>
      <c r="U301" s="172"/>
      <c r="V301" s="20"/>
      <c r="W301" s="24"/>
      <c r="X301" s="24"/>
      <c r="Y301" s="24"/>
      <c r="Z301" s="24"/>
      <c r="AA301" s="24"/>
      <c r="AB301" s="24"/>
      <c r="AC301" s="24"/>
      <c r="AD301" s="24"/>
      <c r="AE301" s="24"/>
      <c r="AF301" s="24"/>
      <c r="AG301" s="24"/>
      <c r="AH301" s="25"/>
      <c r="AI301" s="26"/>
      <c r="AJ301" s="25"/>
      <c r="AK301" s="31"/>
      <c r="AL301" s="24"/>
      <c r="AM301" s="24"/>
      <c r="AN301" s="24"/>
      <c r="AO301" s="24"/>
      <c r="AP301" s="27"/>
      <c r="AQ301" s="28"/>
      <c r="AR301" s="29"/>
      <c r="AS301" s="30"/>
      <c r="AV301" s="316"/>
      <c r="AW301" s="316"/>
      <c r="AX301" s="316"/>
      <c r="AY301" s="316"/>
      <c r="AZ301" s="315"/>
    </row>
    <row r="302" spans="3:52" hidden="1" x14ac:dyDescent="0.25">
      <c r="C302" s="171"/>
      <c r="D302" s="131"/>
      <c r="E302" s="152"/>
      <c r="F302" s="171"/>
      <c r="G302" s="171"/>
      <c r="H302" s="22"/>
      <c r="I302" s="172"/>
      <c r="J302" s="172"/>
      <c r="K302" s="171"/>
      <c r="L302" s="172"/>
      <c r="M302" s="172"/>
      <c r="N302" s="172"/>
      <c r="O302" s="172"/>
      <c r="P302" s="23"/>
      <c r="Q302" s="23"/>
      <c r="R302" s="172"/>
      <c r="S302" s="172"/>
      <c r="T302" s="172"/>
      <c r="U302" s="172"/>
      <c r="V302" s="20"/>
      <c r="W302" s="24"/>
      <c r="X302" s="24"/>
      <c r="Y302" s="24"/>
      <c r="Z302" s="24"/>
      <c r="AA302" s="24"/>
      <c r="AB302" s="24"/>
      <c r="AC302" s="24"/>
      <c r="AD302" s="24"/>
      <c r="AE302" s="24"/>
      <c r="AF302" s="24"/>
      <c r="AG302" s="24"/>
      <c r="AH302" s="25"/>
      <c r="AI302" s="26"/>
      <c r="AJ302" s="25"/>
      <c r="AK302" s="31"/>
      <c r="AL302" s="24"/>
      <c r="AM302" s="24"/>
      <c r="AN302" s="24"/>
      <c r="AO302" s="24"/>
      <c r="AP302" s="27"/>
      <c r="AQ302" s="28"/>
      <c r="AR302" s="29"/>
      <c r="AS302" s="30"/>
      <c r="AV302" s="316"/>
      <c r="AW302" s="316"/>
      <c r="AX302" s="316"/>
      <c r="AY302" s="316"/>
      <c r="AZ302" s="315"/>
    </row>
    <row r="303" spans="3:52" hidden="1" x14ac:dyDescent="0.25">
      <c r="C303" s="171"/>
      <c r="D303" s="131"/>
      <c r="E303" s="152"/>
      <c r="F303" s="171"/>
      <c r="G303" s="171"/>
      <c r="H303" s="22"/>
      <c r="I303" s="172"/>
      <c r="J303" s="172"/>
      <c r="K303" s="171"/>
      <c r="L303" s="172"/>
      <c r="M303" s="172"/>
      <c r="N303" s="172"/>
      <c r="O303" s="172"/>
      <c r="P303" s="23"/>
      <c r="Q303" s="23"/>
      <c r="R303" s="172"/>
      <c r="S303" s="172"/>
      <c r="T303" s="172"/>
      <c r="U303" s="172"/>
      <c r="V303" s="20"/>
      <c r="W303" s="24"/>
      <c r="X303" s="24"/>
      <c r="Y303" s="24"/>
      <c r="Z303" s="24"/>
      <c r="AA303" s="24"/>
      <c r="AB303" s="24"/>
      <c r="AC303" s="24"/>
      <c r="AD303" s="24"/>
      <c r="AE303" s="24"/>
      <c r="AF303" s="24"/>
      <c r="AG303" s="24"/>
      <c r="AH303" s="25"/>
      <c r="AI303" s="26"/>
      <c r="AJ303" s="25"/>
      <c r="AK303" s="31"/>
      <c r="AL303" s="24"/>
      <c r="AM303" s="24"/>
      <c r="AN303" s="24"/>
      <c r="AO303" s="24"/>
      <c r="AP303" s="27"/>
      <c r="AQ303" s="28"/>
      <c r="AR303" s="29"/>
      <c r="AS303" s="30"/>
      <c r="AV303" s="316"/>
      <c r="AW303" s="316"/>
      <c r="AX303" s="316"/>
      <c r="AY303" s="316"/>
      <c r="AZ303" s="315"/>
    </row>
    <row r="304" spans="3:52" hidden="1" x14ac:dyDescent="0.25">
      <c r="C304" s="171"/>
      <c r="D304" s="131"/>
      <c r="E304" s="152"/>
      <c r="F304" s="171"/>
      <c r="G304" s="171"/>
      <c r="H304" s="22"/>
      <c r="I304" s="172"/>
      <c r="J304" s="172"/>
      <c r="K304" s="171"/>
      <c r="L304" s="172"/>
      <c r="M304" s="172"/>
      <c r="N304" s="172"/>
      <c r="O304" s="172"/>
      <c r="P304" s="23"/>
      <c r="Q304" s="23"/>
      <c r="R304" s="172"/>
      <c r="S304" s="172"/>
      <c r="T304" s="172"/>
      <c r="U304" s="172"/>
      <c r="V304" s="20"/>
      <c r="W304" s="24"/>
      <c r="X304" s="24"/>
      <c r="Y304" s="24"/>
      <c r="Z304" s="24"/>
      <c r="AA304" s="24"/>
      <c r="AB304" s="24"/>
      <c r="AC304" s="24"/>
      <c r="AD304" s="24"/>
      <c r="AE304" s="24"/>
      <c r="AF304" s="24"/>
      <c r="AG304" s="24"/>
      <c r="AH304" s="25"/>
      <c r="AI304" s="26"/>
      <c r="AJ304" s="25"/>
      <c r="AK304" s="31"/>
      <c r="AL304" s="24"/>
      <c r="AM304" s="24"/>
      <c r="AN304" s="24"/>
      <c r="AO304" s="24"/>
      <c r="AP304" s="27"/>
      <c r="AQ304" s="28"/>
      <c r="AR304" s="29"/>
      <c r="AS304" s="30"/>
      <c r="AV304" s="316"/>
      <c r="AW304" s="316"/>
      <c r="AX304" s="316"/>
      <c r="AY304" s="316"/>
      <c r="AZ304" s="315"/>
    </row>
    <row r="305" spans="3:66" hidden="1" x14ac:dyDescent="0.25">
      <c r="C305" s="171"/>
      <c r="D305" s="131"/>
      <c r="E305" s="152"/>
      <c r="F305" s="171"/>
      <c r="G305" s="171"/>
      <c r="H305" s="22"/>
      <c r="I305" s="172"/>
      <c r="J305" s="172"/>
      <c r="K305" s="171"/>
      <c r="L305" s="172"/>
      <c r="M305" s="172"/>
      <c r="N305" s="172"/>
      <c r="O305" s="172"/>
      <c r="P305" s="23"/>
      <c r="Q305" s="23"/>
      <c r="R305" s="172"/>
      <c r="S305" s="172"/>
      <c r="T305" s="172"/>
      <c r="U305" s="172"/>
      <c r="V305" s="20"/>
      <c r="W305" s="24"/>
      <c r="X305" s="24"/>
      <c r="Y305" s="24"/>
      <c r="Z305" s="24"/>
      <c r="AA305" s="24"/>
      <c r="AB305" s="24"/>
      <c r="AC305" s="24"/>
      <c r="AD305" s="24"/>
      <c r="AE305" s="24"/>
      <c r="AF305" s="24"/>
      <c r="AG305" s="24"/>
      <c r="AH305" s="25"/>
      <c r="AI305" s="26"/>
      <c r="AJ305" s="25"/>
      <c r="AK305" s="31"/>
      <c r="AL305" s="24"/>
      <c r="AM305" s="24"/>
      <c r="AN305" s="24"/>
      <c r="AO305" s="24"/>
      <c r="AP305" s="27"/>
      <c r="AQ305" s="28"/>
      <c r="AR305" s="29"/>
      <c r="AS305" s="30"/>
      <c r="AV305" s="316"/>
      <c r="AW305" s="316"/>
      <c r="AX305" s="316"/>
      <c r="AY305" s="316"/>
      <c r="AZ305" s="315"/>
    </row>
    <row r="306" spans="3:66" hidden="1" x14ac:dyDescent="0.25">
      <c r="C306" s="171"/>
      <c r="D306" s="131"/>
      <c r="E306" s="152"/>
      <c r="F306" s="171"/>
      <c r="G306" s="171"/>
      <c r="H306" s="22"/>
      <c r="I306" s="172"/>
      <c r="J306" s="172"/>
      <c r="K306" s="171"/>
      <c r="L306" s="172"/>
      <c r="M306" s="172"/>
      <c r="N306" s="172"/>
      <c r="O306" s="172"/>
      <c r="P306" s="23"/>
      <c r="Q306" s="23"/>
      <c r="R306" s="172"/>
      <c r="S306" s="172"/>
      <c r="T306" s="172"/>
      <c r="U306" s="172"/>
      <c r="V306" s="20"/>
      <c r="W306" s="24"/>
      <c r="X306" s="24"/>
      <c r="Y306" s="24"/>
      <c r="Z306" s="24"/>
      <c r="AA306" s="24"/>
      <c r="AB306" s="24"/>
      <c r="AC306" s="24"/>
      <c r="AD306" s="24"/>
      <c r="AE306" s="24"/>
      <c r="AF306" s="24"/>
      <c r="AG306" s="24"/>
      <c r="AH306" s="25"/>
      <c r="AI306" s="26"/>
      <c r="AJ306" s="25"/>
      <c r="AK306" s="31"/>
      <c r="AL306" s="24"/>
      <c r="AM306" s="24"/>
      <c r="AN306" s="24"/>
      <c r="AO306" s="24"/>
      <c r="AP306" s="27"/>
      <c r="AQ306" s="28"/>
      <c r="AR306" s="29"/>
      <c r="AS306" s="30"/>
      <c r="AV306" s="316"/>
      <c r="AW306" s="316"/>
      <c r="AX306" s="316"/>
      <c r="AY306" s="316"/>
      <c r="AZ306" s="315"/>
    </row>
    <row r="307" spans="3:66" hidden="1" x14ac:dyDescent="0.25">
      <c r="C307" s="171"/>
      <c r="D307" s="131"/>
      <c r="E307" s="152"/>
      <c r="F307" s="171"/>
      <c r="G307" s="171"/>
      <c r="H307" s="22"/>
      <c r="I307" s="172"/>
      <c r="J307" s="172"/>
      <c r="K307" s="171"/>
      <c r="L307" s="172"/>
      <c r="M307" s="172"/>
      <c r="N307" s="172"/>
      <c r="O307" s="172"/>
      <c r="P307" s="23"/>
      <c r="Q307" s="23"/>
      <c r="R307" s="172"/>
      <c r="S307" s="172"/>
      <c r="T307" s="172"/>
      <c r="U307" s="172"/>
      <c r="V307" s="20"/>
      <c r="W307" s="24"/>
      <c r="X307" s="24"/>
      <c r="Y307" s="24"/>
      <c r="Z307" s="24"/>
      <c r="AA307" s="24"/>
      <c r="AB307" s="24"/>
      <c r="AC307" s="24"/>
      <c r="AD307" s="24"/>
      <c r="AE307" s="24"/>
      <c r="AF307" s="24"/>
      <c r="AG307" s="24"/>
      <c r="AH307" s="25"/>
      <c r="AI307" s="26"/>
      <c r="AJ307" s="25"/>
      <c r="AK307" s="31"/>
      <c r="AL307" s="24"/>
      <c r="AM307" s="24"/>
      <c r="AN307" s="24"/>
      <c r="AO307" s="24"/>
      <c r="AP307" s="27"/>
      <c r="AQ307" s="28"/>
      <c r="AR307" s="29"/>
      <c r="AS307" s="30"/>
      <c r="AV307" s="316"/>
      <c r="AW307" s="316"/>
      <c r="AX307" s="316"/>
      <c r="AY307" s="316"/>
      <c r="AZ307" s="315"/>
    </row>
    <row r="308" spans="3:66" hidden="1" x14ac:dyDescent="0.25">
      <c r="C308" s="171"/>
      <c r="D308" s="131"/>
      <c r="E308" s="152"/>
      <c r="F308" s="171"/>
      <c r="G308" s="171"/>
      <c r="H308" s="22"/>
      <c r="I308" s="172"/>
      <c r="J308" s="172"/>
      <c r="K308" s="171"/>
      <c r="L308" s="172"/>
      <c r="M308" s="172"/>
      <c r="N308" s="172"/>
      <c r="O308" s="172"/>
      <c r="P308" s="23"/>
      <c r="Q308" s="23"/>
      <c r="R308" s="172"/>
      <c r="S308" s="172"/>
      <c r="T308" s="172"/>
      <c r="U308" s="172"/>
      <c r="V308" s="20"/>
      <c r="W308" s="24"/>
      <c r="X308" s="24"/>
      <c r="Y308" s="24"/>
      <c r="Z308" s="24"/>
      <c r="AA308" s="24"/>
      <c r="AB308" s="24"/>
      <c r="AC308" s="24"/>
      <c r="AD308" s="24"/>
      <c r="AE308" s="24"/>
      <c r="AF308" s="24"/>
      <c r="AG308" s="24"/>
      <c r="AH308" s="25"/>
      <c r="AI308" s="26"/>
      <c r="AJ308" s="25"/>
      <c r="AK308" s="31"/>
      <c r="AL308" s="24"/>
      <c r="AM308" s="24"/>
      <c r="AN308" s="24"/>
      <c r="AO308" s="24"/>
      <c r="AP308" s="27"/>
      <c r="AQ308" s="28"/>
      <c r="AR308" s="29"/>
      <c r="AS308" s="30"/>
      <c r="AV308" s="316"/>
      <c r="AW308" s="316"/>
      <c r="AX308" s="316"/>
      <c r="AY308" s="316"/>
      <c r="AZ308" s="315"/>
    </row>
    <row r="309" spans="3:66" hidden="1" x14ac:dyDescent="0.25">
      <c r="C309" s="171"/>
      <c r="D309" s="131"/>
      <c r="E309" s="152"/>
      <c r="F309" s="171"/>
      <c r="G309" s="171"/>
      <c r="H309" s="22"/>
      <c r="I309" s="172"/>
      <c r="J309" s="172"/>
      <c r="K309" s="171"/>
      <c r="L309" s="172"/>
      <c r="M309" s="172"/>
      <c r="N309" s="172"/>
      <c r="O309" s="172"/>
      <c r="P309" s="23"/>
      <c r="Q309" s="23"/>
      <c r="R309" s="172"/>
      <c r="S309" s="172"/>
      <c r="T309" s="172"/>
      <c r="U309" s="172"/>
      <c r="V309" s="20"/>
      <c r="W309" s="24"/>
      <c r="X309" s="24"/>
      <c r="Y309" s="24"/>
      <c r="Z309" s="24"/>
      <c r="AA309" s="24"/>
      <c r="AB309" s="24"/>
      <c r="AC309" s="24"/>
      <c r="AD309" s="24"/>
      <c r="AE309" s="24"/>
      <c r="AF309" s="24"/>
      <c r="AG309" s="24"/>
      <c r="AH309" s="25"/>
      <c r="AI309" s="26"/>
      <c r="AJ309" s="25"/>
      <c r="AK309" s="31"/>
      <c r="AL309" s="24"/>
      <c r="AM309" s="24"/>
      <c r="AN309" s="24"/>
      <c r="AO309" s="24"/>
      <c r="AP309" s="27"/>
      <c r="AQ309" s="28"/>
      <c r="AR309" s="29"/>
      <c r="AS309" s="30"/>
      <c r="AV309" s="316"/>
      <c r="AW309" s="316"/>
      <c r="AX309" s="316"/>
      <c r="AY309" s="316"/>
      <c r="AZ309" s="315"/>
    </row>
    <row r="310" spans="3:66" hidden="1" x14ac:dyDescent="0.25">
      <c r="C310" s="171"/>
      <c r="D310" s="171"/>
      <c r="E310" s="152"/>
      <c r="F310" s="171"/>
      <c r="G310" s="171"/>
      <c r="H310" s="22"/>
      <c r="I310" s="172"/>
      <c r="J310" s="172"/>
      <c r="K310" s="171"/>
      <c r="L310" s="172"/>
      <c r="M310" s="172"/>
      <c r="N310" s="172"/>
      <c r="O310" s="172"/>
      <c r="P310" s="23"/>
      <c r="Q310" s="23"/>
      <c r="R310" s="172"/>
      <c r="S310" s="172"/>
      <c r="T310" s="172"/>
      <c r="U310" s="172"/>
      <c r="V310" s="20"/>
      <c r="W310" s="24"/>
      <c r="X310" s="24"/>
      <c r="Y310" s="24"/>
      <c r="Z310" s="24"/>
      <c r="AA310" s="24"/>
      <c r="AB310" s="24"/>
      <c r="AC310" s="24"/>
      <c r="AD310" s="24"/>
      <c r="AE310" s="24"/>
      <c r="AF310" s="24"/>
      <c r="AG310" s="24"/>
      <c r="AH310" s="25"/>
      <c r="AI310" s="26"/>
      <c r="AJ310" s="25"/>
      <c r="AK310" s="31"/>
      <c r="AL310" s="24"/>
      <c r="AM310" s="24"/>
      <c r="AN310" s="24"/>
      <c r="AO310" s="24"/>
      <c r="AP310" s="27"/>
      <c r="AQ310" s="28"/>
      <c r="AR310" s="29"/>
      <c r="AS310" s="30"/>
      <c r="AV310" s="316"/>
      <c r="AW310" s="316"/>
      <c r="AX310" s="316"/>
      <c r="AY310" s="316"/>
      <c r="AZ310" s="315"/>
    </row>
    <row r="311" spans="3:66" hidden="1" x14ac:dyDescent="0.25">
      <c r="C311" s="171"/>
      <c r="D311" s="171"/>
      <c r="E311" s="152"/>
      <c r="F311" s="171"/>
      <c r="G311" s="171"/>
      <c r="H311" s="22"/>
      <c r="I311" s="172"/>
      <c r="J311" s="172"/>
      <c r="K311" s="171"/>
      <c r="L311" s="172"/>
      <c r="M311" s="172"/>
      <c r="N311" s="172"/>
      <c r="O311" s="172"/>
      <c r="P311" s="23"/>
      <c r="Q311" s="23"/>
      <c r="R311" s="172"/>
      <c r="S311" s="172"/>
      <c r="T311" s="172"/>
      <c r="U311" s="172"/>
      <c r="V311" s="20"/>
      <c r="W311" s="24"/>
      <c r="X311" s="24"/>
      <c r="Y311" s="24"/>
      <c r="Z311" s="24"/>
      <c r="AA311" s="24"/>
      <c r="AB311" s="24"/>
      <c r="AC311" s="24"/>
      <c r="AD311" s="24"/>
      <c r="AE311" s="24"/>
      <c r="AF311" s="24"/>
      <c r="AG311" s="24"/>
      <c r="AH311" s="25"/>
      <c r="AI311" s="26"/>
      <c r="AJ311" s="25"/>
      <c r="AK311" s="31"/>
      <c r="AL311" s="24"/>
      <c r="AM311" s="24"/>
      <c r="AN311" s="24"/>
      <c r="AO311" s="24"/>
      <c r="AP311" s="27"/>
      <c r="AQ311" s="28"/>
      <c r="AR311" s="29"/>
      <c r="AS311" s="30"/>
      <c r="AV311" s="316"/>
      <c r="AW311" s="316"/>
      <c r="AX311" s="316"/>
      <c r="AY311" s="316"/>
      <c r="AZ311" s="315"/>
    </row>
    <row r="312" spans="3:66" hidden="1" x14ac:dyDescent="0.25">
      <c r="C312" s="171"/>
      <c r="D312" s="171"/>
      <c r="E312" s="152"/>
      <c r="F312" s="171"/>
      <c r="G312" s="171"/>
      <c r="H312" s="22"/>
      <c r="I312" s="172"/>
      <c r="J312" s="172"/>
      <c r="K312" s="171"/>
      <c r="L312" s="172"/>
      <c r="M312" s="172"/>
      <c r="N312" s="172"/>
      <c r="O312" s="172"/>
      <c r="P312" s="23"/>
      <c r="Q312" s="23"/>
      <c r="R312" s="172"/>
      <c r="S312" s="172"/>
      <c r="T312" s="172"/>
      <c r="U312" s="172"/>
      <c r="V312" s="20"/>
      <c r="W312" s="24"/>
      <c r="X312" s="24"/>
      <c r="Y312" s="24"/>
      <c r="Z312" s="24"/>
      <c r="AA312" s="24"/>
      <c r="AB312" s="24"/>
      <c r="AC312" s="24"/>
      <c r="AD312" s="24"/>
      <c r="AE312" s="24"/>
      <c r="AF312" s="24"/>
      <c r="AG312" s="24"/>
      <c r="AH312" s="25"/>
      <c r="AI312" s="26"/>
      <c r="AJ312" s="25"/>
      <c r="AK312" s="31"/>
      <c r="AL312" s="24"/>
      <c r="AM312" s="24"/>
      <c r="AN312" s="24"/>
      <c r="AO312" s="24"/>
      <c r="AP312" s="27"/>
      <c r="AQ312" s="28"/>
      <c r="AR312" s="29"/>
      <c r="AS312" s="30"/>
      <c r="AV312" s="316"/>
      <c r="AW312" s="316"/>
      <c r="AX312" s="316"/>
      <c r="AY312" s="316"/>
      <c r="AZ312" s="315"/>
    </row>
    <row r="313" spans="3:66" hidden="1" x14ac:dyDescent="0.25">
      <c r="C313" s="171"/>
      <c r="D313" s="171"/>
      <c r="E313" s="152"/>
      <c r="F313" s="171"/>
      <c r="G313" s="171"/>
      <c r="H313" s="22"/>
      <c r="I313" s="172"/>
      <c r="J313" s="172"/>
      <c r="K313" s="171"/>
      <c r="L313" s="172"/>
      <c r="M313" s="172"/>
      <c r="N313" s="172"/>
      <c r="O313" s="172"/>
      <c r="P313" s="23"/>
      <c r="Q313" s="23"/>
      <c r="R313" s="172"/>
      <c r="S313" s="172"/>
      <c r="T313" s="172"/>
      <c r="U313" s="172"/>
      <c r="V313" s="20"/>
      <c r="W313" s="24"/>
      <c r="X313" s="24"/>
      <c r="Y313" s="24"/>
      <c r="Z313" s="24"/>
      <c r="AA313" s="24"/>
      <c r="AB313" s="24"/>
      <c r="AC313" s="24"/>
      <c r="AD313" s="24"/>
      <c r="AE313" s="24"/>
      <c r="AF313" s="24"/>
      <c r="AG313" s="24"/>
      <c r="AH313" s="25"/>
      <c r="AI313" s="26"/>
      <c r="AJ313" s="25"/>
      <c r="AK313" s="31"/>
      <c r="AL313" s="24"/>
      <c r="AM313" s="24"/>
      <c r="AN313" s="24"/>
      <c r="AO313" s="24"/>
      <c r="AP313" s="27"/>
      <c r="AQ313" s="28"/>
      <c r="AR313" s="29"/>
      <c r="AS313" s="30"/>
      <c r="AV313" s="316"/>
      <c r="AW313" s="316"/>
      <c r="AX313" s="316"/>
      <c r="AY313" s="316"/>
      <c r="AZ313" s="315"/>
    </row>
    <row r="314" spans="3:66" hidden="1" x14ac:dyDescent="0.25">
      <c r="C314" s="171"/>
      <c r="D314" s="171"/>
      <c r="E314" s="152"/>
      <c r="F314" s="171"/>
      <c r="G314" s="171"/>
      <c r="H314" s="22"/>
      <c r="I314" s="172"/>
      <c r="J314" s="172"/>
      <c r="K314" s="171"/>
      <c r="L314" s="172"/>
      <c r="M314" s="172"/>
      <c r="N314" s="172"/>
      <c r="O314" s="172"/>
      <c r="P314" s="23"/>
      <c r="Q314" s="23"/>
      <c r="R314" s="172"/>
      <c r="S314" s="172"/>
      <c r="T314" s="172"/>
      <c r="U314" s="172"/>
      <c r="V314" s="20"/>
      <c r="W314" s="24"/>
      <c r="X314" s="24"/>
      <c r="Y314" s="24"/>
      <c r="Z314" s="24"/>
      <c r="AA314" s="24"/>
      <c r="AB314" s="24"/>
      <c r="AC314" s="24"/>
      <c r="AD314" s="24"/>
      <c r="AE314" s="24"/>
      <c r="AF314" s="24"/>
      <c r="AG314" s="24"/>
      <c r="AH314" s="25"/>
      <c r="AI314" s="26"/>
      <c r="AJ314" s="25"/>
      <c r="AK314" s="31"/>
      <c r="AL314" s="24"/>
      <c r="AM314" s="24"/>
      <c r="AN314" s="24"/>
      <c r="AO314" s="24"/>
      <c r="AP314" s="27"/>
      <c r="AQ314" s="28"/>
      <c r="AR314" s="29"/>
      <c r="AS314" s="30"/>
      <c r="AV314" s="316"/>
      <c r="AW314" s="316"/>
      <c r="AX314" s="316"/>
      <c r="AY314" s="316"/>
      <c r="AZ314" s="315"/>
    </row>
    <row r="315" spans="3:66" hidden="1" x14ac:dyDescent="0.25">
      <c r="C315" s="171"/>
      <c r="D315" s="171"/>
      <c r="E315" s="152"/>
      <c r="F315" s="171"/>
      <c r="G315" s="171"/>
      <c r="H315" s="22"/>
      <c r="I315" s="172"/>
      <c r="J315" s="172"/>
      <c r="K315" s="171"/>
      <c r="L315" s="172"/>
      <c r="M315" s="172"/>
      <c r="N315" s="172"/>
      <c r="O315" s="172"/>
      <c r="P315" s="23"/>
      <c r="Q315" s="23"/>
      <c r="R315" s="172"/>
      <c r="S315" s="172"/>
      <c r="T315" s="172"/>
      <c r="U315" s="172"/>
      <c r="V315" s="20"/>
      <c r="W315" s="24"/>
      <c r="X315" s="24"/>
      <c r="Y315" s="24"/>
      <c r="Z315" s="24"/>
      <c r="AA315" s="24"/>
      <c r="AB315" s="24"/>
      <c r="AC315" s="24"/>
      <c r="AD315" s="24"/>
      <c r="AE315" s="24"/>
      <c r="AF315" s="24"/>
      <c r="AG315" s="24"/>
      <c r="AH315" s="25"/>
      <c r="AI315" s="26"/>
      <c r="AJ315" s="25"/>
      <c r="AK315" s="31"/>
      <c r="AL315" s="24"/>
      <c r="AM315" s="24"/>
      <c r="AN315" s="24"/>
      <c r="AO315" s="24"/>
      <c r="AP315" s="27"/>
      <c r="AQ315" s="28"/>
      <c r="AR315" s="29"/>
      <c r="AS315" s="30"/>
      <c r="AV315" s="316"/>
      <c r="AW315" s="316"/>
      <c r="AX315" s="316"/>
      <c r="AY315" s="316"/>
      <c r="AZ315" s="315"/>
    </row>
    <row r="316" spans="3:66" x14ac:dyDescent="0.25">
      <c r="C316" s="171"/>
      <c r="D316" s="171"/>
      <c r="E316" s="171"/>
      <c r="F316" s="171"/>
      <c r="G316" s="171"/>
      <c r="H316" s="22"/>
      <c r="I316" s="171"/>
      <c r="J316" s="172"/>
      <c r="K316" s="171"/>
      <c r="L316" s="172"/>
      <c r="M316" s="172"/>
      <c r="N316" s="172"/>
      <c r="O316" s="172"/>
      <c r="P316" s="23"/>
      <c r="Q316" s="23"/>
      <c r="R316" s="172"/>
      <c r="S316" s="172"/>
      <c r="T316" s="172"/>
      <c r="U316" s="172"/>
      <c r="V316" s="20"/>
      <c r="W316" s="24"/>
      <c r="X316" s="24"/>
      <c r="Y316" s="24"/>
      <c r="Z316" s="24"/>
      <c r="AA316" s="24"/>
      <c r="AB316" s="24"/>
      <c r="AC316" s="24"/>
      <c r="AD316" s="24"/>
      <c r="AE316" s="24"/>
      <c r="AF316" s="24"/>
      <c r="AG316" s="24"/>
      <c r="AH316" s="25"/>
      <c r="AI316" s="26"/>
      <c r="AJ316" s="25"/>
      <c r="AK316" s="27"/>
      <c r="AL316" s="24"/>
      <c r="AM316" s="24"/>
      <c r="AN316" s="24"/>
      <c r="AO316" s="24"/>
      <c r="AP316" s="27"/>
      <c r="AQ316" s="28"/>
      <c r="AR316" s="29"/>
      <c r="AS316" s="30"/>
    </row>
    <row r="317" spans="3:66" x14ac:dyDescent="0.25">
      <c r="C317" s="429" t="s">
        <v>4</v>
      </c>
      <c r="D317" s="429"/>
      <c r="E317" s="180"/>
      <c r="I317" s="221">
        <f>SUM(I6:I316)</f>
        <v>160</v>
      </c>
      <c r="R317" s="188">
        <f>+COUNT(R6:R316)</f>
        <v>1</v>
      </c>
      <c r="S317" s="188">
        <f>COUNTA(S185,S8)</f>
        <v>0</v>
      </c>
      <c r="AJ317" s="1">
        <f>SUM(AJ6:AJ174)</f>
        <v>309.60000000000008</v>
      </c>
      <c r="AK317" s="2"/>
      <c r="AL317" s="1">
        <f>SUM(AL6:AL316)</f>
        <v>41.276549752961351</v>
      </c>
      <c r="AM317" s="2"/>
      <c r="AN317" s="1">
        <f>SUM(AN6:AN316)</f>
        <v>0.38095687191201688</v>
      </c>
      <c r="AO317" s="1">
        <f>SUM(AO6:AO316)</f>
        <v>60.953099505922701</v>
      </c>
      <c r="AS317" s="1">
        <f>SUM(AS6:AS316)</f>
        <v>688</v>
      </c>
      <c r="AV317" s="316">
        <f>SUM(AV6:AV316)</f>
        <v>0</v>
      </c>
      <c r="AW317" s="316">
        <f>SUM(AW6:AW316)</f>
        <v>0</v>
      </c>
      <c r="AX317" s="316">
        <f>SUM(AX6:AX316)</f>
        <v>1</v>
      </c>
      <c r="AY317" s="316">
        <f>SUM(AY6:AY316)</f>
        <v>0</v>
      </c>
      <c r="AZ317" s="315">
        <f>SUM(AZ6:AZ315)</f>
        <v>2</v>
      </c>
      <c r="BC317" s="261">
        <f>SUM(BC6:BC316)</f>
        <v>0</v>
      </c>
      <c r="BD317" s="261">
        <f>SUM(BD6:BD316)</f>
        <v>0</v>
      </c>
      <c r="BE317" s="261">
        <f>SUM(BE6:BE316)</f>
        <v>309.60000000000008</v>
      </c>
      <c r="BF317" s="261">
        <f>SUM(BF6:BF316)</f>
        <v>0</v>
      </c>
      <c r="BH317" s="261">
        <f>+BF317+BE317+BD317+BC317</f>
        <v>309.60000000000008</v>
      </c>
      <c r="BJ317" s="261">
        <f>SUM(BJ6:BJ315)</f>
        <v>309.60000000000008</v>
      </c>
      <c r="BK317" s="261">
        <f>SUM(BK6:BK315)</f>
        <v>0</v>
      </c>
      <c r="BM317" s="261">
        <f>SUM(BM6:BM315)</f>
        <v>688</v>
      </c>
      <c r="BN317" s="261">
        <f>SUM(BN6:BN315)</f>
        <v>0</v>
      </c>
    </row>
    <row r="318" spans="3:66" x14ac:dyDescent="0.25">
      <c r="C318" s="161"/>
      <c r="D318" s="161"/>
      <c r="I318" s="163"/>
      <c r="R318" s="180"/>
      <c r="AJ318" s="1"/>
      <c r="AK318" s="2"/>
      <c r="AL318" s="1"/>
      <c r="AM318" s="2"/>
      <c r="AN318" s="1"/>
      <c r="AO318" s="1"/>
      <c r="AS318" s="1"/>
      <c r="BJ318" s="430">
        <f>+BJ317+BK317</f>
        <v>309.60000000000008</v>
      </c>
      <c r="BK318" s="431"/>
      <c r="BM318" s="430">
        <f>+BM317+BN317</f>
        <v>688</v>
      </c>
      <c r="BN318" s="431"/>
    </row>
    <row r="319" spans="3:66" x14ac:dyDescent="0.25">
      <c r="E319" s="153" t="s">
        <v>250</v>
      </c>
      <c r="F319" s="175"/>
      <c r="G319" s="313" t="s">
        <v>251</v>
      </c>
      <c r="I319" s="165" t="s">
        <v>344</v>
      </c>
      <c r="J319" s="183" t="e">
        <f>+G331</f>
        <v>#REF!</v>
      </c>
      <c r="M319" s="202">
        <f>+SUM([35]Pluvial!$P$13:$P$95)</f>
        <v>2242.341293814342</v>
      </c>
      <c r="R319" s="316">
        <f>+R317+S317</f>
        <v>1</v>
      </c>
      <c r="AJ319" s="1">
        <f>+AJ317-AJ174</f>
        <v>309.60000000000008</v>
      </c>
      <c r="AN319" s="319"/>
    </row>
    <row r="320" spans="3:66" x14ac:dyDescent="0.25">
      <c r="E320" s="179" t="s">
        <v>374</v>
      </c>
      <c r="F320" s="175"/>
      <c r="G320" s="189"/>
      <c r="J320" s="183"/>
      <c r="M320" s="202"/>
      <c r="R320" s="315">
        <f>+SUM(R6:R185)</f>
        <v>2</v>
      </c>
      <c r="S320" s="183">
        <f>S185+S8</f>
        <v>0</v>
      </c>
      <c r="AN320" s="319"/>
    </row>
    <row r="321" spans="5:40" x14ac:dyDescent="0.25">
      <c r="E321" s="179" t="s">
        <v>302</v>
      </c>
      <c r="F321" s="175"/>
      <c r="G321" s="189"/>
      <c r="M321" s="202">
        <f>+SUM([36]Pluvial!$P$13:$P$55)</f>
        <v>1472.2510045660645</v>
      </c>
      <c r="R321" s="430">
        <f>+R320+S320</f>
        <v>2</v>
      </c>
      <c r="S321" s="430"/>
      <c r="AN321" s="319"/>
    </row>
    <row r="322" spans="5:40" x14ac:dyDescent="0.25">
      <c r="E322" s="179" t="s">
        <v>373</v>
      </c>
      <c r="F322" s="175"/>
      <c r="G322" s="189" t="e">
        <f>+GETPIVOTDATA("Longitud",$E$342,"Diametro",27)</f>
        <v>#REF!</v>
      </c>
      <c r="M322" s="202"/>
      <c r="AN322" s="319"/>
    </row>
    <row r="323" spans="5:40" x14ac:dyDescent="0.25">
      <c r="E323" s="179" t="s">
        <v>324</v>
      </c>
      <c r="F323" s="175"/>
      <c r="G323" s="189" t="e">
        <f>+GETPIVOTDATA("Longitud",$E$342,"Diametro",24)</f>
        <v>#REF!</v>
      </c>
      <c r="M323" s="202">
        <f>SUM(M319:M321)</f>
        <v>3714.5922983804066</v>
      </c>
      <c r="AN323" s="319"/>
    </row>
    <row r="324" spans="5:40" x14ac:dyDescent="0.25">
      <c r="E324" s="179" t="s">
        <v>249</v>
      </c>
      <c r="F324" s="174" t="s">
        <v>323</v>
      </c>
      <c r="G324" s="189" t="e">
        <f>+GETPIVOTDATA("Longitud",$E$342,"Diametro",20)</f>
        <v>#REF!</v>
      </c>
      <c r="AN324" s="319"/>
    </row>
    <row r="325" spans="5:40" x14ac:dyDescent="0.25">
      <c r="E325" s="179" t="s">
        <v>249</v>
      </c>
      <c r="F325" s="174" t="s">
        <v>301</v>
      </c>
      <c r="G325" s="189" t="e">
        <f>+GETPIVOTDATA("Longitud",$E$342,"Diametro",18)</f>
        <v>#REF!</v>
      </c>
      <c r="AL325" s="165" t="s">
        <v>361</v>
      </c>
    </row>
    <row r="326" spans="5:40" x14ac:dyDescent="0.25">
      <c r="E326" s="179" t="s">
        <v>249</v>
      </c>
      <c r="F326" s="174" t="s">
        <v>322</v>
      </c>
      <c r="G326" s="189" t="e">
        <f>+GETPIVOTDATA("Longitud",$E$342,"Diametro",16)</f>
        <v>#REF!</v>
      </c>
      <c r="AL326" s="165" t="s">
        <v>358</v>
      </c>
      <c r="AM326" s="222">
        <f>+AL317</f>
        <v>41.276549752961351</v>
      </c>
    </row>
    <row r="327" spans="5:40" x14ac:dyDescent="0.25">
      <c r="E327" s="179" t="s">
        <v>249</v>
      </c>
      <c r="F327" s="174" t="s">
        <v>328</v>
      </c>
      <c r="G327" s="189" t="e">
        <f>+GETPIVOTDATA("Longitud",$E$342,"Diametro",14)</f>
        <v>#REF!</v>
      </c>
      <c r="R327" s="187"/>
      <c r="AL327" s="165" t="s">
        <v>359</v>
      </c>
      <c r="AM327" s="222">
        <f>+AO317</f>
        <v>60.953099505922701</v>
      </c>
    </row>
    <row r="328" spans="5:40" x14ac:dyDescent="0.25">
      <c r="E328" s="179" t="s">
        <v>249</v>
      </c>
      <c r="F328" s="174" t="s">
        <v>147</v>
      </c>
      <c r="G328" s="189">
        <f>+GETPIVOTDATA("Longitud",$E$342,"Diametro",12)</f>
        <v>759</v>
      </c>
      <c r="P328" s="183"/>
      <c r="AL328" s="165" t="s">
        <v>360</v>
      </c>
      <c r="AM328" s="222">
        <f>+AJ317-AM326-AM327</f>
        <v>207.37035074111606</v>
      </c>
    </row>
    <row r="329" spans="5:40" x14ac:dyDescent="0.25">
      <c r="E329" s="179" t="s">
        <v>249</v>
      </c>
      <c r="F329" s="174" t="s">
        <v>288</v>
      </c>
      <c r="G329" s="189" t="e">
        <f>+GETPIVOTDATA("Longitud",$E$342,"Diametro",10)</f>
        <v>#REF!</v>
      </c>
      <c r="I329" s="165" t="s">
        <v>377</v>
      </c>
      <c r="P329" s="183"/>
      <c r="AM329" s="222"/>
    </row>
    <row r="330" spans="5:40" x14ac:dyDescent="0.25">
      <c r="E330" s="179" t="s">
        <v>249</v>
      </c>
      <c r="F330" s="174" t="s">
        <v>148</v>
      </c>
      <c r="G330" s="189" t="e">
        <f>+GETPIVOTDATA("Longitud",$E$342,"Diametro",8)</f>
        <v>#REF!</v>
      </c>
      <c r="P330" s="183"/>
      <c r="AM330" s="222"/>
    </row>
    <row r="331" spans="5:40" x14ac:dyDescent="0.25">
      <c r="E331" s="179" t="s">
        <v>4</v>
      </c>
      <c r="F331" s="174"/>
      <c r="G331" s="190" t="e">
        <f>SUM(G320:G330)</f>
        <v>#REF!</v>
      </c>
      <c r="AL331" s="165" t="s">
        <v>4</v>
      </c>
      <c r="AM331" s="222">
        <f>SUM(AM326:AM328)</f>
        <v>309.60000000000014</v>
      </c>
    </row>
    <row r="332" spans="5:40" x14ac:dyDescent="0.25">
      <c r="P332" s="183"/>
    </row>
    <row r="333" spans="5:40" x14ac:dyDescent="0.25">
      <c r="E333" s="423" t="s">
        <v>294</v>
      </c>
      <c r="F333" s="424"/>
      <c r="G333" s="166"/>
      <c r="I333" s="165" t="s">
        <v>343</v>
      </c>
    </row>
    <row r="334" spans="5:40" x14ac:dyDescent="0.25">
      <c r="E334" s="433" t="s">
        <v>295</v>
      </c>
      <c r="F334" s="433"/>
      <c r="G334" s="189">
        <f>+AV317</f>
        <v>0</v>
      </c>
      <c r="I334" s="165" t="s">
        <v>399</v>
      </c>
      <c r="J334" s="316" t="e">
        <f>+GETPIVOTDATA("Diametro",$H$342,"Diametro",16)</f>
        <v>#REF!</v>
      </c>
      <c r="K334" s="315">
        <f>+GETPIVOTDATA("Profundidad tubo No 1",$K$342,"Diametro",16)</f>
        <v>45.8700000000008</v>
      </c>
    </row>
    <row r="335" spans="5:40" x14ac:dyDescent="0.25">
      <c r="E335" s="433" t="s">
        <v>296</v>
      </c>
      <c r="F335" s="433"/>
      <c r="G335" s="189">
        <f>+AW317</f>
        <v>0</v>
      </c>
      <c r="I335" s="165" t="s">
        <v>400</v>
      </c>
      <c r="J335" s="316">
        <v>0</v>
      </c>
      <c r="K335" s="315">
        <v>0</v>
      </c>
    </row>
    <row r="336" spans="5:40" x14ac:dyDescent="0.25">
      <c r="E336" s="433" t="s">
        <v>297</v>
      </c>
      <c r="F336" s="433"/>
      <c r="G336" s="189">
        <f>+AX317</f>
        <v>1</v>
      </c>
      <c r="I336" s="165" t="s">
        <v>401</v>
      </c>
      <c r="J336" s="316">
        <v>0</v>
      </c>
      <c r="K336" s="315">
        <v>0</v>
      </c>
      <c r="AL336" s="165" t="s">
        <v>432</v>
      </c>
    </row>
    <row r="337" spans="5:42" x14ac:dyDescent="0.25">
      <c r="E337" s="433" t="s">
        <v>298</v>
      </c>
      <c r="F337" s="433"/>
      <c r="G337" s="189">
        <f>+AY317</f>
        <v>0</v>
      </c>
      <c r="J337" s="316" t="e">
        <f>+J335+J334+J336</f>
        <v>#REF!</v>
      </c>
      <c r="K337" s="315">
        <f>+K336+K335+K334</f>
        <v>45.8700000000008</v>
      </c>
    </row>
    <row r="338" spans="5:42" x14ac:dyDescent="0.25">
      <c r="E338" s="178" t="s">
        <v>299</v>
      </c>
      <c r="G338" s="316">
        <f>SUM(G334:G337)</f>
        <v>1</v>
      </c>
      <c r="AL338" s="165" t="s">
        <v>433</v>
      </c>
      <c r="AM338" s="315">
        <f>10/100</f>
        <v>0.1</v>
      </c>
      <c r="AN338" s="183">
        <f>+AM338</f>
        <v>0.1</v>
      </c>
    </row>
    <row r="339" spans="5:42" x14ac:dyDescent="0.25">
      <c r="E339" s="165"/>
      <c r="AL339" s="165" t="s">
        <v>434</v>
      </c>
      <c r="AM339" s="315">
        <f>24*2.54/100</f>
        <v>0.60960000000000003</v>
      </c>
      <c r="AN339" s="183">
        <f>+AM339+AM338</f>
        <v>0.70960000000000001</v>
      </c>
    </row>
    <row r="340" spans="5:42" x14ac:dyDescent="0.25">
      <c r="E340" s="178" t="s">
        <v>325</v>
      </c>
      <c r="G340" s="315">
        <f>+SUM(S6,R23)</f>
        <v>2</v>
      </c>
      <c r="AL340" s="165" t="s">
        <v>435</v>
      </c>
      <c r="AM340" s="315">
        <v>0.3</v>
      </c>
      <c r="AN340" s="183">
        <f>+AN339+AM340</f>
        <v>1.0096000000000001</v>
      </c>
    </row>
    <row r="341" spans="5:42" x14ac:dyDescent="0.25">
      <c r="E341" s="165"/>
      <c r="AL341" s="165" t="s">
        <v>436</v>
      </c>
      <c r="AM341" s="315">
        <f>2-AN340</f>
        <v>0.99039999999999995</v>
      </c>
      <c r="AN341" s="183">
        <f>+AN340+AM341</f>
        <v>2</v>
      </c>
      <c r="AP341" s="183">
        <f>+AN340-2</f>
        <v>-0.99039999999999995</v>
      </c>
    </row>
    <row r="342" spans="5:42" x14ac:dyDescent="0.25">
      <c r="E342" s="165" t="s">
        <v>392</v>
      </c>
      <c r="F342" s="165" t="s">
        <v>393</v>
      </c>
      <c r="H342" s="165" t="s">
        <v>392</v>
      </c>
      <c r="I342" s="165" t="s">
        <v>394</v>
      </c>
      <c r="K342" s="165" t="s">
        <v>392</v>
      </c>
      <c r="L342" s="165" t="s">
        <v>395</v>
      </c>
    </row>
    <row r="343" spans="5:42" x14ac:dyDescent="0.25">
      <c r="E343" s="201">
        <v>12</v>
      </c>
      <c r="F343" s="261">
        <v>759</v>
      </c>
      <c r="H343" s="201">
        <v>12</v>
      </c>
      <c r="I343" s="286">
        <v>4</v>
      </c>
      <c r="K343" s="316">
        <v>16</v>
      </c>
      <c r="L343" s="315">
        <v>45.8700000000008</v>
      </c>
    </row>
    <row r="344" spans="5:42" x14ac:dyDescent="0.25">
      <c r="E344" s="287" t="s">
        <v>396</v>
      </c>
      <c r="F344" s="261">
        <v>759</v>
      </c>
      <c r="H344" s="287" t="s">
        <v>396</v>
      </c>
      <c r="I344" s="286">
        <v>4</v>
      </c>
      <c r="K344" s="287" t="s">
        <v>396</v>
      </c>
      <c r="L344" s="261">
        <v>45.8700000000008</v>
      </c>
    </row>
    <row r="345" spans="5:42" x14ac:dyDescent="0.25">
      <c r="E345" s="165"/>
    </row>
    <row r="346" spans="5:42" x14ac:dyDescent="0.25">
      <c r="E346" s="165"/>
    </row>
    <row r="347" spans="5:42" x14ac:dyDescent="0.25">
      <c r="E347" s="165"/>
    </row>
    <row r="348" spans="5:42" x14ac:dyDescent="0.25">
      <c r="E348" s="165"/>
    </row>
    <row r="349" spans="5:42" x14ac:dyDescent="0.25">
      <c r="E349" s="165"/>
    </row>
    <row r="350" spans="5:42" x14ac:dyDescent="0.25">
      <c r="E350" s="165"/>
    </row>
    <row r="351" spans="5:42" x14ac:dyDescent="0.25">
      <c r="E351" s="165"/>
    </row>
    <row r="352" spans="5:42" x14ac:dyDescent="0.25">
      <c r="E352" s="165"/>
    </row>
    <row r="353" spans="5:17" x14ac:dyDescent="0.25">
      <c r="E353" s="165"/>
    </row>
    <row r="354" spans="5:17" x14ac:dyDescent="0.25">
      <c r="E354" s="165"/>
    </row>
    <row r="355" spans="5:17" x14ac:dyDescent="0.25">
      <c r="E355" s="180"/>
      <c r="M355" s="316" t="s">
        <v>437</v>
      </c>
      <c r="N355" s="316" t="s">
        <v>438</v>
      </c>
      <c r="O355" s="165" t="s">
        <v>439</v>
      </c>
      <c r="P355" s="165" t="s">
        <v>440</v>
      </c>
      <c r="Q355" s="165" t="s">
        <v>441</v>
      </c>
    </row>
    <row r="356" spans="5:17" x14ac:dyDescent="0.25">
      <c r="M356" s="316">
        <v>336.57</v>
      </c>
      <c r="N356" s="316">
        <v>516.79999999999995</v>
      </c>
      <c r="O356" s="316">
        <v>563.9</v>
      </c>
      <c r="P356" s="316">
        <v>124.41</v>
      </c>
      <c r="Q356" s="316">
        <v>213.51</v>
      </c>
    </row>
    <row r="357" spans="5:17" x14ac:dyDescent="0.25">
      <c r="E357" s="178" t="s">
        <v>286</v>
      </c>
      <c r="G357" s="182">
        <v>2265.4440000000004</v>
      </c>
      <c r="M357" s="316">
        <v>61.88</v>
      </c>
      <c r="N357" s="316"/>
      <c r="O357" s="316"/>
      <c r="P357" s="316"/>
    </row>
    <row r="358" spans="5:17" x14ac:dyDescent="0.25">
      <c r="E358" s="178" t="s">
        <v>287</v>
      </c>
      <c r="G358" s="182">
        <v>3532.7000000000007</v>
      </c>
      <c r="M358" s="316">
        <v>52.36</v>
      </c>
      <c r="N358" s="316"/>
      <c r="O358" s="316"/>
      <c r="P358" s="316"/>
    </row>
    <row r="359" spans="5:17" x14ac:dyDescent="0.25">
      <c r="E359" s="178" t="s">
        <v>303</v>
      </c>
      <c r="G359" s="182">
        <v>5752.8270000000002</v>
      </c>
    </row>
    <row r="360" spans="5:17" x14ac:dyDescent="0.25">
      <c r="E360" s="178" t="s">
        <v>291</v>
      </c>
      <c r="G360" s="182">
        <v>3625.4917999999998</v>
      </c>
      <c r="L360" s="316" t="s">
        <v>442</v>
      </c>
      <c r="M360" s="316">
        <f>SUM(M356:M358)</f>
        <v>450.81</v>
      </c>
      <c r="N360" s="316">
        <f>SUM(N356:N358)</f>
        <v>516.79999999999995</v>
      </c>
      <c r="O360" s="316">
        <f>SUM(O356:O358)</f>
        <v>563.9</v>
      </c>
      <c r="P360" s="316">
        <f>SUM(P356:P358)</f>
        <v>124.41</v>
      </c>
      <c r="Q360" s="316">
        <f>SUM(Q356:Q358)</f>
        <v>213.51</v>
      </c>
    </row>
    <row r="361" spans="5:17" x14ac:dyDescent="0.25">
      <c r="E361" s="178" t="s">
        <v>304</v>
      </c>
      <c r="G361" s="182">
        <v>3545.2579999999998</v>
      </c>
    </row>
    <row r="362" spans="5:17" x14ac:dyDescent="0.25">
      <c r="E362" s="178" t="s">
        <v>321</v>
      </c>
      <c r="G362" s="182">
        <v>6764.5739999999987</v>
      </c>
      <c r="L362" s="316" t="s">
        <v>4</v>
      </c>
      <c r="M362" s="431">
        <f>+Q360+P360+O360+N360+M360</f>
        <v>1869.4299999999998</v>
      </c>
      <c r="N362" s="431"/>
      <c r="O362" s="431"/>
      <c r="P362" s="431"/>
      <c r="Q362" s="431"/>
    </row>
    <row r="363" spans="5:17" x14ac:dyDescent="0.25">
      <c r="E363" s="178" t="s">
        <v>337</v>
      </c>
      <c r="G363" s="182">
        <v>4649.7400000000007</v>
      </c>
      <c r="L363" s="316" t="s">
        <v>443</v>
      </c>
      <c r="M363" s="431">
        <f>+M362/12</f>
        <v>155.78583333333333</v>
      </c>
      <c r="N363" s="431"/>
      <c r="O363" s="431"/>
      <c r="P363" s="431"/>
      <c r="Q363" s="431"/>
    </row>
    <row r="364" spans="5:17" x14ac:dyDescent="0.25">
      <c r="E364" s="178" t="s">
        <v>338</v>
      </c>
      <c r="G364" s="182">
        <v>4497.3799999999992</v>
      </c>
      <c r="M364" s="432">
        <f>ROUNDUP(M363,0)</f>
        <v>156</v>
      </c>
      <c r="N364" s="432"/>
      <c r="O364" s="432"/>
      <c r="P364" s="432"/>
      <c r="Q364" s="432"/>
    </row>
    <row r="365" spans="5:17" x14ac:dyDescent="0.25">
      <c r="E365" s="178" t="s">
        <v>339</v>
      </c>
      <c r="G365" s="182">
        <v>2003.9</v>
      </c>
    </row>
    <row r="366" spans="5:17" x14ac:dyDescent="0.25">
      <c r="E366" s="178" t="s">
        <v>341</v>
      </c>
      <c r="G366" s="182">
        <v>2717.17</v>
      </c>
    </row>
    <row r="367" spans="5:17" x14ac:dyDescent="0.25">
      <c r="E367" s="178" t="s">
        <v>342</v>
      </c>
      <c r="G367" s="182">
        <v>5653.7000000000007</v>
      </c>
      <c r="L367" s="165" t="s">
        <v>452</v>
      </c>
      <c r="M367" s="316">
        <v>1.1000000000000001</v>
      </c>
      <c r="N367" s="165" t="s">
        <v>454</v>
      </c>
      <c r="O367" s="183">
        <f>+I7+I8+I9+I10</f>
        <v>0</v>
      </c>
    </row>
    <row r="368" spans="5:17" x14ac:dyDescent="0.25">
      <c r="G368" s="182"/>
    </row>
    <row r="369" spans="5:14" x14ac:dyDescent="0.25">
      <c r="E369" s="178" t="s">
        <v>305</v>
      </c>
      <c r="G369" s="182">
        <f>SUM(G357:G368)</f>
        <v>45008.184800000003</v>
      </c>
      <c r="N369" s="201" t="s">
        <v>455</v>
      </c>
    </row>
    <row r="370" spans="5:14" x14ac:dyDescent="0.25">
      <c r="L370" s="165" t="s">
        <v>370</v>
      </c>
      <c r="M370" s="315">
        <v>0.05</v>
      </c>
      <c r="N370" s="315">
        <f>+M370*$O$367*$M$367</f>
        <v>0</v>
      </c>
    </row>
    <row r="371" spans="5:14" x14ac:dyDescent="0.25">
      <c r="L371" s="165" t="s">
        <v>453</v>
      </c>
      <c r="M371" s="315">
        <v>0.05</v>
      </c>
      <c r="N371" s="315">
        <f>+M371*$O$367*$M$367</f>
        <v>0</v>
      </c>
    </row>
    <row r="372" spans="5:14" x14ac:dyDescent="0.25">
      <c r="L372" s="165" t="s">
        <v>371</v>
      </c>
      <c r="M372" s="315">
        <v>0.2</v>
      </c>
      <c r="N372" s="315">
        <f>+M372*$O$367*$M$367</f>
        <v>0</v>
      </c>
    </row>
    <row r="373" spans="5:14" x14ac:dyDescent="0.25">
      <c r="L373" s="165" t="s">
        <v>372</v>
      </c>
      <c r="M373" s="315">
        <v>0.3</v>
      </c>
      <c r="N373" s="315">
        <f>+M373*$O$367*$M$367</f>
        <v>0</v>
      </c>
    </row>
    <row r="389" spans="40:41" x14ac:dyDescent="0.25">
      <c r="AN389" s="165">
        <v>8</v>
      </c>
      <c r="AO389" s="292">
        <v>0.19999999999999996</v>
      </c>
    </row>
    <row r="390" spans="40:41" x14ac:dyDescent="0.25">
      <c r="AN390" s="165">
        <v>10</v>
      </c>
      <c r="AO390" s="316">
        <v>0.22500000000000001</v>
      </c>
    </row>
    <row r="391" spans="40:41" x14ac:dyDescent="0.25">
      <c r="AN391" s="165">
        <v>12</v>
      </c>
      <c r="AO391" s="284">
        <v>0.14999999999999991</v>
      </c>
    </row>
    <row r="392" spans="40:41" x14ac:dyDescent="0.25">
      <c r="AN392" s="165">
        <v>14</v>
      </c>
      <c r="AO392" s="284">
        <v>0.22500000000000053</v>
      </c>
    </row>
    <row r="393" spans="40:41" x14ac:dyDescent="0.25">
      <c r="AN393" s="165">
        <v>16</v>
      </c>
      <c r="AO393" s="284">
        <v>0.20000000000000023</v>
      </c>
    </row>
    <row r="394" spans="40:41" x14ac:dyDescent="0.25">
      <c r="AN394" s="165">
        <v>18</v>
      </c>
      <c r="AO394" s="284">
        <v>0.22500000000000012</v>
      </c>
    </row>
    <row r="395" spans="40:41" x14ac:dyDescent="0.25">
      <c r="AN395" s="165">
        <v>20</v>
      </c>
      <c r="AO395" s="284">
        <v>0.2</v>
      </c>
    </row>
    <row r="396" spans="40:41" x14ac:dyDescent="0.25">
      <c r="AN396" s="165">
        <v>21</v>
      </c>
      <c r="AO396" s="284"/>
    </row>
    <row r="397" spans="40:41" x14ac:dyDescent="0.25">
      <c r="AN397" s="165">
        <v>24</v>
      </c>
      <c r="AO397" s="284">
        <v>0.25000000000000006</v>
      </c>
    </row>
    <row r="398" spans="40:41" x14ac:dyDescent="0.25">
      <c r="AN398" s="165">
        <v>27</v>
      </c>
      <c r="AO398" s="284">
        <v>0.3125</v>
      </c>
    </row>
    <row r="399" spans="40:41" x14ac:dyDescent="0.25">
      <c r="AN399" s="165">
        <v>30</v>
      </c>
      <c r="AO399" s="284">
        <v>0.32499999999999996</v>
      </c>
    </row>
    <row r="400" spans="40:41" x14ac:dyDescent="0.25">
      <c r="AN400" s="165">
        <v>33</v>
      </c>
      <c r="AO400" s="284">
        <v>0.28749999999999987</v>
      </c>
    </row>
    <row r="401" spans="40:41" x14ac:dyDescent="0.25">
      <c r="AN401" s="165">
        <v>36</v>
      </c>
      <c r="AO401" s="284">
        <v>0.3</v>
      </c>
    </row>
    <row r="402" spans="40:41" x14ac:dyDescent="0.25">
      <c r="AN402" s="165">
        <v>39</v>
      </c>
      <c r="AO402" s="284">
        <v>0.26250000000000001</v>
      </c>
    </row>
    <row r="403" spans="40:41" x14ac:dyDescent="0.25">
      <c r="AN403" s="165">
        <v>42</v>
      </c>
      <c r="AO403" s="284">
        <v>0.2</v>
      </c>
    </row>
    <row r="404" spans="40:41" x14ac:dyDescent="0.25">
      <c r="AN404" s="165">
        <v>45</v>
      </c>
      <c r="AO404" s="284">
        <v>0.23750000000000029</v>
      </c>
    </row>
    <row r="405" spans="40:41" x14ac:dyDescent="0.25">
      <c r="AN405" s="165">
        <v>48</v>
      </c>
      <c r="AO405" s="284">
        <v>0.24999999999999961</v>
      </c>
    </row>
    <row r="406" spans="40:41" x14ac:dyDescent="0.25">
      <c r="AN406" s="165">
        <v>54</v>
      </c>
      <c r="AO406" s="284">
        <v>0.24999999999999972</v>
      </c>
    </row>
  </sheetData>
  <autoFilter ref="C4:AS315"/>
  <mergeCells count="19">
    <mergeCell ref="M364:Q364"/>
    <mergeCell ref="E334:F334"/>
    <mergeCell ref="E335:F335"/>
    <mergeCell ref="E336:F336"/>
    <mergeCell ref="E337:F337"/>
    <mergeCell ref="M362:Q362"/>
    <mergeCell ref="M363:Q363"/>
    <mergeCell ref="BM3:BN3"/>
    <mergeCell ref="C317:D317"/>
    <mergeCell ref="BJ318:BK318"/>
    <mergeCell ref="BM318:BN318"/>
    <mergeCell ref="R321:S321"/>
    <mergeCell ref="AD3:AE3"/>
    <mergeCell ref="BJ3:BK3"/>
    <mergeCell ref="E333:F333"/>
    <mergeCell ref="E3:F3"/>
    <mergeCell ref="T3:U3"/>
    <mergeCell ref="W3:X3"/>
    <mergeCell ref="Y3:AB3"/>
  </mergeCells>
  <pageMargins left="0.70866141732283472" right="0.70866141732283472" top="0.74803149606299213" bottom="0.74803149606299213" header="0.31496062992125984" footer="0.31496062992125984"/>
  <pageSetup paperSize="9" scale="62" orientation="landscape" horizontalDpi="4294967293" r:id="rId4"/>
  <colBreaks count="1" manualBreakCount="1">
    <brk id="19" max="45"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0:N28"/>
  <sheetViews>
    <sheetView showGridLines="0" view="pageBreakPreview" topLeftCell="A19" zoomScale="55" zoomScaleNormal="70" zoomScaleSheetLayoutView="55" workbookViewId="0">
      <selection activeCell="R28" sqref="R28"/>
    </sheetView>
  </sheetViews>
  <sheetFormatPr baseColWidth="10" defaultRowHeight="15" x14ac:dyDescent="0.25"/>
  <cols>
    <col min="1" max="1" width="4.7109375" style="165" customWidth="1"/>
    <col min="2" max="2" width="11.42578125" style="165"/>
    <col min="3" max="3" width="28.5703125" style="165" customWidth="1"/>
    <col min="4" max="4" width="15.7109375" style="165" customWidth="1"/>
    <col min="5" max="5" width="43.5703125" style="165" customWidth="1"/>
    <col min="6" max="6" width="15.140625" style="165" customWidth="1"/>
    <col min="7" max="7" width="13.28515625" style="165" customWidth="1"/>
    <col min="8" max="8" width="17" style="165" customWidth="1"/>
    <col min="9" max="9" width="16.5703125" style="165" customWidth="1"/>
    <col min="10" max="10" width="17.28515625" style="165" customWidth="1"/>
    <col min="11" max="12" width="23.140625" style="165" customWidth="1"/>
    <col min="13" max="13" width="17" style="165" customWidth="1"/>
    <col min="14" max="14" width="16.85546875" style="165" customWidth="1"/>
    <col min="15" max="15" width="4.85546875" style="165" customWidth="1"/>
    <col min="16" max="16384" width="11.42578125" style="165"/>
  </cols>
  <sheetData>
    <row r="10" spans="2:14" x14ac:dyDescent="0.25">
      <c r="B10" s="386" t="s">
        <v>644</v>
      </c>
      <c r="C10" s="386"/>
      <c r="D10" s="386"/>
      <c r="E10" s="386"/>
      <c r="F10" s="386"/>
      <c r="G10" s="386"/>
      <c r="H10" s="386"/>
      <c r="I10" s="386"/>
      <c r="J10" s="386"/>
      <c r="K10" s="386"/>
      <c r="L10" s="386"/>
      <c r="M10" s="386"/>
      <c r="N10" s="386"/>
    </row>
    <row r="11" spans="2:14" ht="15" customHeight="1" x14ac:dyDescent="0.25">
      <c r="B11" s="386" t="s">
        <v>641</v>
      </c>
      <c r="C11" s="386"/>
      <c r="D11" s="386"/>
      <c r="E11" s="386"/>
      <c r="F11" s="386"/>
      <c r="G11" s="386"/>
      <c r="H11" s="386"/>
      <c r="I11" s="386"/>
      <c r="J11" s="386"/>
      <c r="K11" s="386"/>
      <c r="L11" s="386"/>
      <c r="M11" s="386"/>
      <c r="N11" s="386"/>
    </row>
    <row r="12" spans="2:14" ht="15" customHeight="1" x14ac:dyDescent="0.25">
      <c r="B12" s="386" t="str">
        <f>+Resumen!B7</f>
        <v>C.PU.- EMSERCOTA-002-2019</v>
      </c>
      <c r="C12" s="386"/>
      <c r="D12" s="386"/>
      <c r="E12" s="386"/>
      <c r="F12" s="386"/>
      <c r="G12" s="386"/>
      <c r="H12" s="386"/>
      <c r="I12" s="386"/>
      <c r="J12" s="386"/>
      <c r="K12" s="386"/>
      <c r="L12" s="386"/>
      <c r="M12" s="386"/>
      <c r="N12" s="386"/>
    </row>
    <row r="13" spans="2:14" ht="36" customHeight="1" x14ac:dyDescent="0.25">
      <c r="B13" s="386" t="str">
        <f>+'Cuadro Experiencia Anexo No 2A'!B13:N13</f>
        <v>REALIZAR LA CONSTRUCCION DE LA INFRAESTRUCTURA PARA EL ABASTECIMIENTO DE AGUA POTABLE MEDIANTE LA INTERCONEXIÓN AL SISTEMA DE ACUEDUCTO OPERADO POR LA EMPRESA DE ACUEDUCTO DE BOGOTÁ SA E.S.P. AL MUNICIPIO DE COTA – PRIMERA ETAPA</v>
      </c>
      <c r="C13" s="386"/>
      <c r="D13" s="386"/>
      <c r="E13" s="386"/>
      <c r="F13" s="386"/>
      <c r="G13" s="386"/>
      <c r="H13" s="386"/>
      <c r="I13" s="386"/>
      <c r="J13" s="386"/>
      <c r="K13" s="386"/>
      <c r="L13" s="386"/>
      <c r="M13" s="386"/>
      <c r="N13" s="386"/>
    </row>
    <row r="16" spans="2:14" s="372" customFormat="1" ht="49.5" customHeight="1" x14ac:dyDescent="0.25">
      <c r="B16" s="370" t="s">
        <v>623</v>
      </c>
      <c r="C16" s="370" t="s">
        <v>624</v>
      </c>
      <c r="D16" s="371" t="s">
        <v>625</v>
      </c>
      <c r="E16" s="371" t="s">
        <v>626</v>
      </c>
      <c r="F16" s="371" t="s">
        <v>627</v>
      </c>
      <c r="G16" s="371" t="s">
        <v>628</v>
      </c>
      <c r="H16" s="371" t="s">
        <v>629</v>
      </c>
      <c r="I16" s="371" t="s">
        <v>630</v>
      </c>
      <c r="J16" s="371" t="s">
        <v>631</v>
      </c>
      <c r="K16" s="371" t="s">
        <v>632</v>
      </c>
      <c r="L16" s="371" t="s">
        <v>632</v>
      </c>
      <c r="M16" s="370" t="s">
        <v>638</v>
      </c>
      <c r="N16" s="370" t="s">
        <v>639</v>
      </c>
    </row>
    <row r="17" spans="2:14" x14ac:dyDescent="0.25">
      <c r="B17" s="373"/>
      <c r="C17" s="373"/>
      <c r="D17" s="374"/>
      <c r="E17" s="374"/>
      <c r="F17" s="374"/>
      <c r="G17" s="374"/>
      <c r="H17" s="374"/>
      <c r="I17" s="374"/>
      <c r="J17" s="374"/>
      <c r="K17" s="375" t="s">
        <v>633</v>
      </c>
      <c r="L17" s="375" t="s">
        <v>634</v>
      </c>
      <c r="M17" s="373"/>
      <c r="N17" s="373"/>
    </row>
    <row r="18" spans="2:14" s="201" customFormat="1" ht="61.5" customHeight="1" x14ac:dyDescent="0.25">
      <c r="B18" s="376">
        <v>1</v>
      </c>
      <c r="C18" s="376"/>
      <c r="D18" s="376"/>
      <c r="E18" s="377"/>
      <c r="F18" s="377"/>
      <c r="G18" s="376"/>
      <c r="H18" s="378"/>
      <c r="I18" s="379"/>
      <c r="J18" s="379"/>
      <c r="K18" s="380"/>
      <c r="L18" s="381"/>
      <c r="M18" s="382"/>
      <c r="N18" s="376"/>
    </row>
    <row r="19" spans="2:14" ht="81.75" customHeight="1" x14ac:dyDescent="0.25">
      <c r="B19" s="376">
        <v>2</v>
      </c>
      <c r="C19" s="376"/>
      <c r="D19" s="376"/>
      <c r="E19" s="377"/>
      <c r="F19" s="377"/>
      <c r="G19" s="376"/>
      <c r="H19" s="378"/>
      <c r="I19" s="379"/>
      <c r="J19" s="379"/>
      <c r="K19" s="380"/>
      <c r="L19" s="381"/>
      <c r="M19" s="382"/>
      <c r="N19" s="376"/>
    </row>
    <row r="20" spans="2:14" ht="108" customHeight="1" x14ac:dyDescent="0.25">
      <c r="B20" s="376">
        <v>3</v>
      </c>
      <c r="C20" s="376"/>
      <c r="D20" s="377"/>
      <c r="E20" s="377"/>
      <c r="F20" s="377"/>
      <c r="G20" s="376"/>
      <c r="H20" s="378"/>
      <c r="I20" s="379"/>
      <c r="J20" s="379"/>
      <c r="K20" s="380"/>
      <c r="L20" s="381"/>
      <c r="M20" s="382"/>
      <c r="N20" s="376"/>
    </row>
    <row r="21" spans="2:14" ht="33.75" customHeight="1" x14ac:dyDescent="0.25">
      <c r="B21" s="376">
        <v>4</v>
      </c>
      <c r="C21" s="383"/>
      <c r="D21" s="383"/>
      <c r="E21" s="383"/>
      <c r="F21" s="383"/>
      <c r="G21" s="383"/>
      <c r="H21" s="383"/>
      <c r="I21" s="383"/>
      <c r="J21" s="383"/>
      <c r="K21" s="383"/>
      <c r="L21" s="383"/>
      <c r="M21" s="383"/>
      <c r="N21" s="383"/>
    </row>
    <row r="22" spans="2:14" ht="33.75" customHeight="1" x14ac:dyDescent="0.25">
      <c r="B22" s="376">
        <v>5</v>
      </c>
      <c r="C22" s="383"/>
      <c r="D22" s="383"/>
      <c r="E22" s="383"/>
      <c r="F22" s="383"/>
      <c r="G22" s="383"/>
      <c r="H22" s="383"/>
      <c r="I22" s="383"/>
      <c r="J22" s="383"/>
      <c r="K22" s="383"/>
      <c r="L22" s="383"/>
      <c r="M22" s="383"/>
      <c r="N22" s="383"/>
    </row>
    <row r="24" spans="2:14" x14ac:dyDescent="0.25">
      <c r="B24" s="165" t="s">
        <v>635</v>
      </c>
    </row>
    <row r="26" spans="2:14" x14ac:dyDescent="0.25">
      <c r="B26" s="165" t="s">
        <v>636</v>
      </c>
    </row>
    <row r="27" spans="2:14" ht="33.75" customHeight="1" x14ac:dyDescent="0.25">
      <c r="B27" s="387" t="s">
        <v>645</v>
      </c>
      <c r="C27" s="387"/>
      <c r="D27" s="387"/>
      <c r="E27" s="387"/>
      <c r="F27" s="387"/>
      <c r="G27" s="387"/>
      <c r="H27" s="387"/>
      <c r="I27" s="387"/>
      <c r="J27" s="387"/>
      <c r="K27" s="387"/>
    </row>
    <row r="28" spans="2:14" ht="18.75" customHeight="1" x14ac:dyDescent="0.25">
      <c r="B28" s="387" t="s">
        <v>642</v>
      </c>
      <c r="C28" s="387"/>
      <c r="D28" s="387"/>
      <c r="E28" s="387"/>
      <c r="F28" s="387"/>
      <c r="G28" s="387"/>
      <c r="H28" s="387"/>
      <c r="I28" s="387"/>
      <c r="J28" s="387"/>
      <c r="K28" s="387"/>
    </row>
  </sheetData>
  <mergeCells count="6">
    <mergeCell ref="B10:N10"/>
    <mergeCell ref="B11:N11"/>
    <mergeCell ref="B13:N13"/>
    <mergeCell ref="B27:K27"/>
    <mergeCell ref="B28:K28"/>
    <mergeCell ref="B12:N12"/>
  </mergeCells>
  <printOptions horizontalCentered="1"/>
  <pageMargins left="0.23622047244094491" right="0.23622047244094491" top="0.74803149606299213" bottom="0.74803149606299213" header="0.31496062992125984" footer="0.31496062992125984"/>
  <pageSetup paperSize="173"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40"/>
  <sheetViews>
    <sheetView topLeftCell="A10" zoomScaleNormal="100" zoomScaleSheetLayoutView="100" workbookViewId="0">
      <selection activeCell="C26" sqref="C26"/>
    </sheetView>
  </sheetViews>
  <sheetFormatPr baseColWidth="10" defaultColWidth="11.5703125" defaultRowHeight="15" x14ac:dyDescent="0.25"/>
  <cols>
    <col min="1" max="1" width="11.5703125" style="180"/>
    <col min="2" max="2" width="14.85546875" style="180" bestFit="1" customWidth="1"/>
    <col min="3" max="3" width="55.42578125" style="180" bestFit="1" customWidth="1"/>
    <col min="4" max="4" width="23.42578125" style="357" customWidth="1"/>
    <col min="5" max="16384" width="11.5703125" style="180"/>
  </cols>
  <sheetData>
    <row r="3" spans="2:4" ht="32.25" customHeight="1" x14ac:dyDescent="0.25"/>
    <row r="5" spans="2:4" x14ac:dyDescent="0.25">
      <c r="B5" s="391" t="str">
        <f>+'Formulario_1 Inter'!B3:G3</f>
        <v>MUNICIPIO DE COTA</v>
      </c>
      <c r="C5" s="391"/>
      <c r="D5" s="391"/>
    </row>
    <row r="6" spans="2:4" x14ac:dyDescent="0.25">
      <c r="B6" s="388" t="str">
        <f>+'Formulario_1 Inter'!B4:G4</f>
        <v>EMPRESA DE SERVICIOS PÚBLICOS DE COTA - EMSERCOTA SA ESP</v>
      </c>
      <c r="C6" s="388"/>
      <c r="D6" s="388"/>
    </row>
    <row r="7" spans="2:4" x14ac:dyDescent="0.25">
      <c r="B7" s="388" t="str">
        <f>+'Formulario_1 Inter'!B5:G5</f>
        <v>C.PU.- EMSERCOTA-002-2019</v>
      </c>
      <c r="C7" s="388"/>
      <c r="D7" s="388"/>
    </row>
    <row r="8" spans="2:4" ht="15.6" customHeight="1" x14ac:dyDescent="0.25">
      <c r="B8" s="392" t="str">
        <f>+'Formulario_1 Inter'!B7:G7</f>
        <v>REALIZAR LA CONSTRUCCION DE LA INFRAESTRUCTURA PARA EL ABASTECIMIENTO DE AGUA POTABLE MEDIANTE LA INTERCONEXIÓN AL SISTEMA DE ACUEDUCTO OPERADO POR LA EMPRESA DE ACUEDUCTO DE BOGOTÁ SA E.S.P. AL MUNICIPIO DE COTA – PRIMERA ETAPA</v>
      </c>
      <c r="C8" s="392"/>
      <c r="D8" s="392"/>
    </row>
    <row r="9" spans="2:4" x14ac:dyDescent="0.25">
      <c r="B9" s="392"/>
      <c r="C9" s="392"/>
      <c r="D9" s="392"/>
    </row>
    <row r="10" spans="2:4" x14ac:dyDescent="0.25">
      <c r="B10" s="392"/>
      <c r="C10" s="392"/>
      <c r="D10" s="392"/>
    </row>
    <row r="11" spans="2:4" x14ac:dyDescent="0.25">
      <c r="B11" s="392"/>
      <c r="C11" s="392"/>
      <c r="D11" s="392"/>
    </row>
    <row r="12" spans="2:4" x14ac:dyDescent="0.25">
      <c r="B12" s="392"/>
      <c r="C12" s="392"/>
      <c r="D12" s="392"/>
    </row>
    <row r="13" spans="2:4" ht="15.75" thickBot="1" x14ac:dyDescent="0.3"/>
    <row r="14" spans="2:4" ht="15.75" thickBot="1" x14ac:dyDescent="0.3">
      <c r="C14" s="389" t="s">
        <v>582</v>
      </c>
      <c r="D14" s="390"/>
    </row>
    <row r="15" spans="2:4" x14ac:dyDescent="0.25">
      <c r="B15" s="169" t="s">
        <v>0</v>
      </c>
      <c r="C15" s="169" t="s">
        <v>460</v>
      </c>
      <c r="D15" s="358">
        <f>+'Formulario_1 Inter'!G79</f>
        <v>0</v>
      </c>
    </row>
    <row r="16" spans="2:4" x14ac:dyDescent="0.25">
      <c r="B16" s="169" t="s">
        <v>1</v>
      </c>
      <c r="C16" s="169" t="s">
        <v>467</v>
      </c>
      <c r="D16" s="358">
        <f>+'Formulario_2 Tanque'!G28</f>
        <v>0</v>
      </c>
    </row>
    <row r="17" spans="2:4" x14ac:dyDescent="0.25">
      <c r="B17" s="169" t="s">
        <v>2</v>
      </c>
      <c r="C17" s="169" t="s">
        <v>469</v>
      </c>
      <c r="D17" s="358">
        <f>+'Formulario_3 Estación de bombeo'!G161</f>
        <v>0</v>
      </c>
    </row>
    <row r="18" spans="2:4" x14ac:dyDescent="0.25">
      <c r="B18" s="169" t="s">
        <v>3</v>
      </c>
      <c r="C18" s="169" t="s">
        <v>470</v>
      </c>
      <c r="D18" s="358">
        <f>+'Formulario_4 impulsion'!G43</f>
        <v>0</v>
      </c>
    </row>
    <row r="19" spans="2:4" x14ac:dyDescent="0.25">
      <c r="B19" s="169"/>
      <c r="C19" s="169"/>
      <c r="D19" s="358"/>
    </row>
    <row r="20" spans="2:4" x14ac:dyDescent="0.25">
      <c r="B20" s="169"/>
      <c r="C20" s="359" t="s">
        <v>4</v>
      </c>
      <c r="D20" s="360">
        <f>SUM(D15:D19)</f>
        <v>0</v>
      </c>
    </row>
    <row r="22" spans="2:4" x14ac:dyDescent="0.25">
      <c r="D22" s="180"/>
    </row>
    <row r="23" spans="2:4" x14ac:dyDescent="0.25">
      <c r="D23" s="180"/>
    </row>
    <row r="24" spans="2:4" x14ac:dyDescent="0.25">
      <c r="D24" s="180"/>
    </row>
    <row r="25" spans="2:4" x14ac:dyDescent="0.25">
      <c r="D25" s="180"/>
    </row>
    <row r="26" spans="2:4" x14ac:dyDescent="0.25">
      <c r="D26" s="180"/>
    </row>
    <row r="27" spans="2:4" x14ac:dyDescent="0.25">
      <c r="D27" s="180"/>
    </row>
    <row r="28" spans="2:4" x14ac:dyDescent="0.25">
      <c r="D28" s="180"/>
    </row>
    <row r="29" spans="2:4" x14ac:dyDescent="0.25">
      <c r="D29" s="180"/>
    </row>
    <row r="30" spans="2:4" x14ac:dyDescent="0.25">
      <c r="D30" s="180"/>
    </row>
    <row r="31" spans="2:4" x14ac:dyDescent="0.25">
      <c r="D31" s="180"/>
    </row>
    <row r="32" spans="2:4" x14ac:dyDescent="0.25">
      <c r="D32" s="180"/>
    </row>
    <row r="33" spans="4:4" x14ac:dyDescent="0.25">
      <c r="D33" s="180"/>
    </row>
    <row r="34" spans="4:4" x14ac:dyDescent="0.25">
      <c r="D34" s="180"/>
    </row>
    <row r="35" spans="4:4" x14ac:dyDescent="0.25">
      <c r="D35" s="180"/>
    </row>
    <row r="36" spans="4:4" x14ac:dyDescent="0.25">
      <c r="D36" s="180"/>
    </row>
    <row r="37" spans="4:4" x14ac:dyDescent="0.25">
      <c r="D37" s="180"/>
    </row>
    <row r="38" spans="4:4" x14ac:dyDescent="0.25">
      <c r="D38" s="180"/>
    </row>
    <row r="39" spans="4:4" x14ac:dyDescent="0.25">
      <c r="D39" s="180"/>
    </row>
    <row r="40" spans="4:4" x14ac:dyDescent="0.25">
      <c r="D40" s="180"/>
    </row>
  </sheetData>
  <mergeCells count="5">
    <mergeCell ref="B6:D6"/>
    <mergeCell ref="C14:D14"/>
    <mergeCell ref="B5:D5"/>
    <mergeCell ref="B8:D12"/>
    <mergeCell ref="B7:D7"/>
  </mergeCells>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Y69"/>
  <sheetViews>
    <sheetView view="pageBreakPreview" zoomScale="80" zoomScaleNormal="100" zoomScaleSheetLayoutView="80" workbookViewId="0">
      <selection activeCell="B5" sqref="B5"/>
    </sheetView>
  </sheetViews>
  <sheetFormatPr baseColWidth="10" defaultRowHeight="15" x14ac:dyDescent="0.25"/>
  <cols>
    <col min="3" max="3" width="59.28515625" customWidth="1"/>
    <col min="5" max="5" width="11.42578125" style="4"/>
    <col min="6" max="6" width="12" bestFit="1" customWidth="1"/>
    <col min="7" max="7" width="15.140625" bestFit="1" customWidth="1"/>
  </cols>
  <sheetData>
    <row r="3" spans="2:25" x14ac:dyDescent="0.25">
      <c r="B3" s="396" t="e">
        <f>+#REF!</f>
        <v>#REF!</v>
      </c>
      <c r="C3" s="396"/>
      <c r="D3" s="396"/>
      <c r="E3" s="396"/>
      <c r="F3" s="396"/>
      <c r="G3" s="396"/>
    </row>
    <row r="4" spans="2:25" x14ac:dyDescent="0.25">
      <c r="B4" s="394" t="e">
        <f>+#REF!</f>
        <v>#REF!</v>
      </c>
      <c r="C4" s="394"/>
      <c r="D4" s="394"/>
      <c r="E4" s="394"/>
      <c r="F4" s="394"/>
      <c r="G4" s="394"/>
    </row>
    <row r="6" spans="2:25" x14ac:dyDescent="0.25">
      <c r="B6" s="395" t="s">
        <v>376</v>
      </c>
      <c r="C6" s="395"/>
      <c r="D6" s="395"/>
      <c r="E6" s="395"/>
      <c r="F6" s="395"/>
      <c r="G6" s="395"/>
    </row>
    <row r="7" spans="2:25" ht="30" x14ac:dyDescent="0.25">
      <c r="B7" s="150" t="s">
        <v>10</v>
      </c>
      <c r="C7" s="150" t="s">
        <v>5</v>
      </c>
      <c r="D7" s="150" t="s">
        <v>6</v>
      </c>
      <c r="E7" s="150" t="s">
        <v>7</v>
      </c>
      <c r="F7" s="150" t="s">
        <v>279</v>
      </c>
      <c r="G7" s="150" t="s">
        <v>280</v>
      </c>
    </row>
    <row r="8" spans="2:25" x14ac:dyDescent="0.25">
      <c r="B8" s="13">
        <v>3</v>
      </c>
      <c r="C8" s="6" t="s">
        <v>20</v>
      </c>
      <c r="D8" s="168"/>
      <c r="E8" s="7"/>
      <c r="F8" s="3"/>
      <c r="G8" s="3"/>
    </row>
    <row r="9" spans="2:25" x14ac:dyDescent="0.25">
      <c r="B9" s="6" t="s">
        <v>21</v>
      </c>
      <c r="C9" s="6" t="s">
        <v>22</v>
      </c>
      <c r="D9" s="168"/>
      <c r="E9" s="7"/>
      <c r="F9" s="3"/>
      <c r="G9" s="3"/>
    </row>
    <row r="10" spans="2:25" x14ac:dyDescent="0.25">
      <c r="B10" s="6" t="s">
        <v>23</v>
      </c>
      <c r="C10" s="6" t="s">
        <v>24</v>
      </c>
      <c r="D10" s="168"/>
      <c r="E10" s="7"/>
      <c r="F10" s="9"/>
      <c r="G10" s="10"/>
    </row>
    <row r="11" spans="2:25" x14ac:dyDescent="0.25">
      <c r="B11" s="14" t="s">
        <v>25</v>
      </c>
      <c r="C11" s="6" t="s">
        <v>26</v>
      </c>
      <c r="D11" s="168"/>
      <c r="E11" s="7"/>
      <c r="F11" s="3"/>
      <c r="G11" s="3"/>
    </row>
    <row r="12" spans="2:25" ht="30" x14ac:dyDescent="0.25">
      <c r="B12" s="14" t="s">
        <v>27</v>
      </c>
      <c r="C12" s="15" t="s">
        <v>28</v>
      </c>
      <c r="D12" s="3"/>
      <c r="E12" s="7"/>
      <c r="F12" s="3"/>
      <c r="G12" s="3"/>
    </row>
    <row r="13" spans="2:25" ht="30.75" hidden="1" customHeight="1" x14ac:dyDescent="0.25">
      <c r="B13" s="160" t="s">
        <v>29</v>
      </c>
      <c r="C13" s="185" t="s">
        <v>306</v>
      </c>
      <c r="D13" s="33" t="s">
        <v>33</v>
      </c>
      <c r="E13" s="159" t="e">
        <f>CEILING(+#REF!,6)</f>
        <v>#REF!</v>
      </c>
      <c r="F13" s="208">
        <f>+G41</f>
        <v>36234.5</v>
      </c>
      <c r="G13" s="212" t="e">
        <f t="shared" ref="G13:G20" si="0">+E13*F13</f>
        <v>#REF!</v>
      </c>
      <c r="I13" t="e">
        <f>+E13/6</f>
        <v>#REF!</v>
      </c>
      <c r="J13" s="393">
        <v>2015</v>
      </c>
      <c r="K13" s="393"/>
      <c r="L13" s="393"/>
      <c r="M13" s="393"/>
      <c r="N13" s="393"/>
      <c r="O13" s="393"/>
      <c r="P13" s="393"/>
      <c r="Q13" s="393"/>
      <c r="S13" s="393"/>
      <c r="T13" s="393"/>
      <c r="U13" s="393"/>
      <c r="V13" s="393"/>
      <c r="W13" s="393"/>
      <c r="X13" s="393"/>
      <c r="Y13" s="393"/>
    </row>
    <row r="14" spans="2:25" hidden="1" x14ac:dyDescent="0.25">
      <c r="B14" s="12" t="s">
        <v>34</v>
      </c>
      <c r="C14" s="12" t="s">
        <v>30</v>
      </c>
      <c r="D14" s="33" t="s">
        <v>33</v>
      </c>
      <c r="E14" s="148">
        <v>0</v>
      </c>
      <c r="F14" s="213">
        <f>+G40</f>
        <v>26532</v>
      </c>
      <c r="G14" s="214">
        <f t="shared" si="0"/>
        <v>0</v>
      </c>
    </row>
    <row r="15" spans="2:25" x14ac:dyDescent="0.25">
      <c r="B15" s="12" t="s">
        <v>151</v>
      </c>
      <c r="C15" s="170" t="e">
        <f>+#REF!</f>
        <v>#REF!</v>
      </c>
      <c r="D15" s="33" t="s">
        <v>33</v>
      </c>
      <c r="E15" s="177" t="e">
        <f>CEILING(#REF!,6)</f>
        <v>#REF!</v>
      </c>
      <c r="F15" s="206">
        <f>+G42</f>
        <v>52922.5</v>
      </c>
      <c r="G15" s="214" t="e">
        <f t="shared" si="0"/>
        <v>#REF!</v>
      </c>
    </row>
    <row r="16" spans="2:25" x14ac:dyDescent="0.25">
      <c r="B16" s="12" t="s">
        <v>35</v>
      </c>
      <c r="C16" s="170" t="e">
        <f>+#REF!</f>
        <v>#REF!</v>
      </c>
      <c r="D16" s="33" t="s">
        <v>33</v>
      </c>
      <c r="E16" s="177" t="e">
        <f>CEILING(#REF!,6)</f>
        <v>#REF!</v>
      </c>
      <c r="F16" s="206">
        <f>+G43</f>
        <v>78248</v>
      </c>
      <c r="G16" s="214" t="e">
        <f t="shared" si="0"/>
        <v>#REF!</v>
      </c>
    </row>
    <row r="17" spans="2:7" x14ac:dyDescent="0.25">
      <c r="B17" s="12" t="s">
        <v>283</v>
      </c>
      <c r="C17" s="170" t="e">
        <f>+#REF!</f>
        <v>#REF!</v>
      </c>
      <c r="D17" s="33" t="s">
        <v>33</v>
      </c>
      <c r="E17" s="177" t="e">
        <f>CEILING(#REF!,6)</f>
        <v>#REF!</v>
      </c>
      <c r="F17" s="206">
        <f>+G44</f>
        <v>112122</v>
      </c>
      <c r="G17" s="214" t="e">
        <f t="shared" si="0"/>
        <v>#REF!</v>
      </c>
    </row>
    <row r="18" spans="2:7" x14ac:dyDescent="0.25">
      <c r="B18" s="12" t="s">
        <v>285</v>
      </c>
      <c r="C18" s="170" t="e">
        <f>+#REF!</f>
        <v>#REF!</v>
      </c>
      <c r="D18" s="33" t="s">
        <v>33</v>
      </c>
      <c r="E18" s="177" t="e">
        <f>CEILING(#REF!,6)</f>
        <v>#REF!</v>
      </c>
      <c r="F18" s="206">
        <f>+G45</f>
        <v>137137.33333333334</v>
      </c>
      <c r="G18" s="214" t="e">
        <f t="shared" si="0"/>
        <v>#REF!</v>
      </c>
    </row>
    <row r="19" spans="2:7" s="165" customFormat="1" x14ac:dyDescent="0.25">
      <c r="B19" s="160" t="s">
        <v>300</v>
      </c>
      <c r="C19" s="170" t="e">
        <f>+#REF!</f>
        <v>#REF!</v>
      </c>
      <c r="D19" s="33" t="s">
        <v>33</v>
      </c>
      <c r="E19" s="177" t="e">
        <f>CEILING(#REF!,6)</f>
        <v>#REF!</v>
      </c>
      <c r="F19" s="206">
        <f>+G46</f>
        <v>177112.66666666666</v>
      </c>
      <c r="G19" s="214" t="e">
        <f t="shared" si="0"/>
        <v>#REF!</v>
      </c>
    </row>
    <row r="20" spans="2:7" s="165" customFormat="1" x14ac:dyDescent="0.25">
      <c r="B20" s="160" t="s">
        <v>367</v>
      </c>
      <c r="C20" s="170" t="e">
        <f>+#REF!</f>
        <v>#REF!</v>
      </c>
      <c r="D20" s="33" t="s">
        <v>33</v>
      </c>
      <c r="E20" s="177" t="e">
        <f>CEILING(#REF!,6)</f>
        <v>#REF!</v>
      </c>
      <c r="F20" s="206">
        <f>+H47</f>
        <v>187031.29500000001</v>
      </c>
      <c r="G20" s="214" t="e">
        <f t="shared" si="0"/>
        <v>#REF!</v>
      </c>
    </row>
    <row r="21" spans="2:7" s="165" customFormat="1" x14ac:dyDescent="0.25">
      <c r="B21" s="169" t="s">
        <v>367</v>
      </c>
      <c r="C21" s="170" t="e">
        <f>+#REF!</f>
        <v>#REF!</v>
      </c>
      <c r="D21" s="33" t="s">
        <v>33</v>
      </c>
      <c r="E21" s="177" t="e">
        <f>CEILING(#REF!,6)</f>
        <v>#REF!</v>
      </c>
      <c r="F21" s="206">
        <f>+H48</f>
        <v>243458.21076923079</v>
      </c>
      <c r="G21" s="214" t="e">
        <f t="shared" ref="G21:G24" si="1">+E21*F21</f>
        <v>#REF!</v>
      </c>
    </row>
    <row r="22" spans="2:7" s="165" customFormat="1" x14ac:dyDescent="0.25">
      <c r="B22" s="169" t="s">
        <v>368</v>
      </c>
      <c r="C22" s="170" t="e">
        <f>+#REF!</f>
        <v>#REF!</v>
      </c>
      <c r="D22" s="33" t="s">
        <v>33</v>
      </c>
      <c r="E22" s="177" t="e">
        <f>CEILING(#REF!,6)</f>
        <v>#REF!</v>
      </c>
      <c r="F22" s="206">
        <f>+H49</f>
        <v>279262.45384615386</v>
      </c>
      <c r="G22" s="214" t="e">
        <f t="shared" si="1"/>
        <v>#REF!</v>
      </c>
    </row>
    <row r="23" spans="2:7" s="165" customFormat="1" x14ac:dyDescent="0.25">
      <c r="B23" s="169" t="s">
        <v>378</v>
      </c>
      <c r="C23" s="170" t="e">
        <f>+#REF!</f>
        <v>#REF!</v>
      </c>
      <c r="D23" s="33" t="s">
        <v>33</v>
      </c>
      <c r="E23" s="177" t="e">
        <f>CEILING(#REF!,6)</f>
        <v>#REF!</v>
      </c>
      <c r="F23" s="206">
        <f>+H50</f>
        <v>363777.23076923081</v>
      </c>
      <c r="G23" s="214" t="e">
        <f t="shared" si="1"/>
        <v>#REF!</v>
      </c>
    </row>
    <row r="24" spans="2:7" s="165" customFormat="1" x14ac:dyDescent="0.25">
      <c r="B24" s="169" t="s">
        <v>379</v>
      </c>
      <c r="C24" s="170" t="e">
        <f>+#REF!</f>
        <v>#REF!</v>
      </c>
      <c r="D24" s="33" t="s">
        <v>33</v>
      </c>
      <c r="E24" s="177" t="e">
        <f>CEILING(#REF!,6)</f>
        <v>#REF!</v>
      </c>
      <c r="F24" s="206">
        <f>+H51</f>
        <v>463701.44769230776</v>
      </c>
      <c r="G24" s="214" t="e">
        <f t="shared" si="1"/>
        <v>#REF!</v>
      </c>
    </row>
    <row r="25" spans="2:7" s="165" customFormat="1" hidden="1" x14ac:dyDescent="0.25">
      <c r="B25" s="169"/>
      <c r="C25" s="170"/>
      <c r="D25" s="33"/>
      <c r="E25" s="177"/>
      <c r="F25" s="206"/>
      <c r="G25" s="214"/>
    </row>
    <row r="26" spans="2:7" s="165" customFormat="1" x14ac:dyDescent="0.25">
      <c r="B26" s="14" t="s">
        <v>363</v>
      </c>
      <c r="C26" s="15" t="s">
        <v>362</v>
      </c>
      <c r="D26" s="166"/>
      <c r="E26" s="168"/>
      <c r="F26" s="214"/>
      <c r="G26" s="214"/>
    </row>
    <row r="27" spans="2:7" s="165" customFormat="1" x14ac:dyDescent="0.25">
      <c r="B27" s="160" t="s">
        <v>364</v>
      </c>
      <c r="C27" s="185" t="s">
        <v>365</v>
      </c>
      <c r="D27" s="33" t="s">
        <v>33</v>
      </c>
      <c r="E27" s="159" t="e">
        <f>+#REF!</f>
        <v>#REF!</v>
      </c>
      <c r="F27" s="223">
        <f>CEILING(557000*1.04*1.04*1.04,5)</f>
        <v>626550</v>
      </c>
      <c r="G27" s="212" t="e">
        <f>+E27*F27</f>
        <v>#REF!</v>
      </c>
    </row>
    <row r="28" spans="2:7" s="165" customFormat="1" x14ac:dyDescent="0.25">
      <c r="B28" s="8"/>
      <c r="C28" s="210"/>
      <c r="D28" s="138"/>
      <c r="E28" s="211"/>
      <c r="F28" s="215"/>
      <c r="G28" s="216"/>
    </row>
    <row r="29" spans="2:7" s="165" customFormat="1" ht="15" hidden="1" customHeight="1" x14ac:dyDescent="0.25">
      <c r="B29" s="8"/>
      <c r="C29" s="210"/>
      <c r="D29" s="138"/>
      <c r="E29" s="211"/>
      <c r="F29" s="215"/>
      <c r="G29" s="216"/>
    </row>
    <row r="30" spans="2:7" x14ac:dyDescent="0.25">
      <c r="C30" s="11" t="s">
        <v>17</v>
      </c>
      <c r="D30" s="2"/>
      <c r="E30" s="2"/>
      <c r="F30" s="217"/>
      <c r="G30" s="218" t="e">
        <f>+G27+G24+G23+G22+G21+G20+G19+G18+G17+G16+G15</f>
        <v>#REF!</v>
      </c>
    </row>
    <row r="31" spans="2:7" x14ac:dyDescent="0.25">
      <c r="C31" s="224" t="s">
        <v>38</v>
      </c>
      <c r="D31" s="225"/>
      <c r="E31" s="225"/>
      <c r="F31" s="226"/>
      <c r="G31" s="227" t="e">
        <f>+G30*0.18</f>
        <v>#REF!</v>
      </c>
    </row>
    <row r="32" spans="2:7" x14ac:dyDescent="0.25">
      <c r="C32" s="11" t="s">
        <v>380</v>
      </c>
      <c r="E32" s="167"/>
      <c r="F32" s="219"/>
      <c r="G32" s="218" t="e">
        <f>+G30*0.19</f>
        <v>#REF!</v>
      </c>
    </row>
    <row r="33" spans="3:9" x14ac:dyDescent="0.25">
      <c r="C33" s="11" t="s">
        <v>357</v>
      </c>
      <c r="D33" s="2"/>
      <c r="E33" s="2"/>
      <c r="F33" s="217"/>
      <c r="G33" s="217" t="e">
        <f>SUM(G30:G32)</f>
        <v>#REF!</v>
      </c>
    </row>
    <row r="37" spans="3:9" x14ac:dyDescent="0.25">
      <c r="C37" t="s">
        <v>355</v>
      </c>
      <c r="E37" s="167"/>
      <c r="F37" s="165"/>
      <c r="G37" s="165"/>
      <c r="H37" s="165"/>
    </row>
    <row r="38" spans="3:9" x14ac:dyDescent="0.25">
      <c r="C38" s="165" t="s">
        <v>356</v>
      </c>
      <c r="E38" s="167"/>
      <c r="F38" s="165"/>
      <c r="G38" s="183"/>
      <c r="H38" s="167" t="s">
        <v>375</v>
      </c>
    </row>
    <row r="39" spans="3:9" x14ac:dyDescent="0.25">
      <c r="C39" s="165" t="s">
        <v>326</v>
      </c>
      <c r="D39" s="167" t="s">
        <v>334</v>
      </c>
      <c r="E39" s="167" t="s">
        <v>336</v>
      </c>
      <c r="F39" s="167" t="s">
        <v>334</v>
      </c>
      <c r="G39" s="167" t="s">
        <v>336</v>
      </c>
      <c r="H39" s="167" t="str">
        <f>+G39</f>
        <v>VALOR</v>
      </c>
      <c r="I39" s="167" t="s">
        <v>381</v>
      </c>
    </row>
    <row r="40" spans="3:9" x14ac:dyDescent="0.25">
      <c r="C40" s="165" t="s">
        <v>327</v>
      </c>
      <c r="D40" s="167" t="s">
        <v>335</v>
      </c>
      <c r="E40" s="193">
        <v>159192</v>
      </c>
      <c r="F40" s="167" t="s">
        <v>33</v>
      </c>
      <c r="G40" s="193">
        <f>+E40/6</f>
        <v>26532</v>
      </c>
      <c r="H40" s="193">
        <f>+G40*(1-0.19)</f>
        <v>21490.920000000002</v>
      </c>
      <c r="I40" s="193"/>
    </row>
    <row r="41" spans="3:9" x14ac:dyDescent="0.25">
      <c r="C41" s="165" t="s">
        <v>148</v>
      </c>
      <c r="D41" s="167" t="s">
        <v>335</v>
      </c>
      <c r="E41" s="193">
        <v>217407</v>
      </c>
      <c r="F41" s="167" t="s">
        <v>33</v>
      </c>
      <c r="G41" s="193">
        <f t="shared" ref="G41:G47" si="2">+E41/6</f>
        <v>36234.5</v>
      </c>
      <c r="H41" s="193">
        <f t="shared" ref="H41:H52" si="3">+G41*(1-0.19)</f>
        <v>29349.945000000003</v>
      </c>
      <c r="I41" s="193"/>
    </row>
    <row r="42" spans="3:9" x14ac:dyDescent="0.25">
      <c r="C42" s="165" t="s">
        <v>288</v>
      </c>
      <c r="D42" s="167" t="s">
        <v>335</v>
      </c>
      <c r="E42" s="193">
        <v>317535</v>
      </c>
      <c r="F42" s="167" t="s">
        <v>33</v>
      </c>
      <c r="G42" s="193">
        <f t="shared" si="2"/>
        <v>52922.5</v>
      </c>
      <c r="H42" s="193">
        <f t="shared" si="3"/>
        <v>42867.225000000006</v>
      </c>
      <c r="I42" s="193">
        <v>67603</v>
      </c>
    </row>
    <row r="43" spans="3:9" x14ac:dyDescent="0.25">
      <c r="C43" s="165" t="s">
        <v>147</v>
      </c>
      <c r="D43" s="167" t="s">
        <v>335</v>
      </c>
      <c r="E43" s="193">
        <v>469488</v>
      </c>
      <c r="F43" s="167" t="s">
        <v>33</v>
      </c>
      <c r="G43" s="193">
        <f t="shared" si="2"/>
        <v>78248</v>
      </c>
      <c r="H43" s="193">
        <f t="shared" si="3"/>
        <v>63380.880000000005</v>
      </c>
      <c r="I43" s="193">
        <v>97554</v>
      </c>
    </row>
    <row r="44" spans="3:9" x14ac:dyDescent="0.25">
      <c r="C44" s="165" t="s">
        <v>328</v>
      </c>
      <c r="D44" s="167" t="s">
        <v>335</v>
      </c>
      <c r="E44" s="193">
        <v>672732</v>
      </c>
      <c r="F44" s="167" t="s">
        <v>33</v>
      </c>
      <c r="G44" s="193">
        <f t="shared" si="2"/>
        <v>112122</v>
      </c>
      <c r="H44" s="193">
        <f t="shared" si="3"/>
        <v>90818.82</v>
      </c>
      <c r="I44" s="193"/>
    </row>
    <row r="45" spans="3:9" x14ac:dyDescent="0.25">
      <c r="C45" s="165" t="s">
        <v>322</v>
      </c>
      <c r="D45" s="167" t="s">
        <v>335</v>
      </c>
      <c r="E45" s="193">
        <v>822824</v>
      </c>
      <c r="F45" s="167" t="s">
        <v>33</v>
      </c>
      <c r="G45" s="193">
        <f t="shared" si="2"/>
        <v>137137.33333333334</v>
      </c>
      <c r="H45" s="193">
        <f t="shared" si="3"/>
        <v>111081.24000000002</v>
      </c>
      <c r="I45" s="193">
        <v>149747</v>
      </c>
    </row>
    <row r="46" spans="3:9" x14ac:dyDescent="0.25">
      <c r="C46" s="165" t="s">
        <v>301</v>
      </c>
      <c r="D46" s="167" t="s">
        <v>335</v>
      </c>
      <c r="E46" s="203">
        <v>1062676</v>
      </c>
      <c r="F46" s="167" t="s">
        <v>33</v>
      </c>
      <c r="G46" s="193">
        <f t="shared" si="2"/>
        <v>177112.66666666666</v>
      </c>
      <c r="H46" s="193">
        <f t="shared" si="3"/>
        <v>143461.26</v>
      </c>
      <c r="I46" s="193"/>
    </row>
    <row r="47" spans="3:9" x14ac:dyDescent="0.25">
      <c r="C47" s="165" t="s">
        <v>323</v>
      </c>
      <c r="D47" s="167" t="s">
        <v>335</v>
      </c>
      <c r="E47" s="193">
        <v>1385417</v>
      </c>
      <c r="F47" s="167" t="s">
        <v>33</v>
      </c>
      <c r="G47" s="193">
        <f t="shared" si="2"/>
        <v>230902.83333333334</v>
      </c>
      <c r="H47" s="193">
        <f t="shared" si="3"/>
        <v>187031.29500000001</v>
      </c>
      <c r="I47" s="193">
        <v>240661</v>
      </c>
    </row>
    <row r="48" spans="3:9" x14ac:dyDescent="0.25">
      <c r="C48" s="165" t="s">
        <v>329</v>
      </c>
      <c r="D48" s="167" t="s">
        <v>335</v>
      </c>
      <c r="E48" s="193">
        <v>1953677</v>
      </c>
      <c r="F48" s="167" t="s">
        <v>33</v>
      </c>
      <c r="G48" s="193">
        <f>+E48/6.5</f>
        <v>300565.69230769231</v>
      </c>
      <c r="H48" s="193">
        <f t="shared" si="3"/>
        <v>243458.21076923079</v>
      </c>
      <c r="I48" s="193">
        <v>349659</v>
      </c>
    </row>
    <row r="49" spans="3:9" x14ac:dyDescent="0.25">
      <c r="C49" s="165" t="s">
        <v>330</v>
      </c>
      <c r="D49" s="167" t="s">
        <v>335</v>
      </c>
      <c r="E49" s="193">
        <v>2240995</v>
      </c>
      <c r="F49" s="167" t="s">
        <v>33</v>
      </c>
      <c r="G49" s="193">
        <f>+E49/6.5</f>
        <v>344768.46153846156</v>
      </c>
      <c r="H49" s="193">
        <f t="shared" si="3"/>
        <v>279262.45384615386</v>
      </c>
      <c r="I49" s="193">
        <v>442358</v>
      </c>
    </row>
    <row r="50" spans="3:9" x14ac:dyDescent="0.25">
      <c r="C50" s="165" t="s">
        <v>331</v>
      </c>
      <c r="D50" s="167" t="s">
        <v>335</v>
      </c>
      <c r="E50" s="193">
        <v>2919200</v>
      </c>
      <c r="F50" s="167" t="s">
        <v>33</v>
      </c>
      <c r="G50" s="193">
        <f>+E50/6.5</f>
        <v>449107.69230769231</v>
      </c>
      <c r="H50" s="193">
        <f t="shared" si="3"/>
        <v>363777.23076923081</v>
      </c>
      <c r="I50" s="193"/>
    </row>
    <row r="51" spans="3:9" x14ac:dyDescent="0.25">
      <c r="C51" s="165" t="s">
        <v>332</v>
      </c>
      <c r="D51" s="167" t="s">
        <v>335</v>
      </c>
      <c r="E51" s="193">
        <v>3721061</v>
      </c>
      <c r="F51" s="167" t="s">
        <v>33</v>
      </c>
      <c r="G51" s="193">
        <f>+E51/6.5</f>
        <v>572470.92307692312</v>
      </c>
      <c r="H51" s="193">
        <f t="shared" si="3"/>
        <v>463701.44769230776</v>
      </c>
      <c r="I51" s="193">
        <v>581576</v>
      </c>
    </row>
    <row r="52" spans="3:9" x14ac:dyDescent="0.25">
      <c r="C52" s="165" t="s">
        <v>333</v>
      </c>
      <c r="D52" s="167" t="s">
        <v>335</v>
      </c>
      <c r="E52" s="193">
        <v>5418397</v>
      </c>
      <c r="F52" s="167" t="s">
        <v>33</v>
      </c>
      <c r="G52" s="193">
        <f>+E52/6.5</f>
        <v>833599.5384615385</v>
      </c>
      <c r="H52" s="193">
        <f t="shared" si="3"/>
        <v>675215.62615384627</v>
      </c>
      <c r="I52" s="193">
        <v>799753</v>
      </c>
    </row>
    <row r="69" spans="10:17" ht="26.25" x14ac:dyDescent="0.25">
      <c r="J69" s="393">
        <v>2017</v>
      </c>
      <c r="K69" s="393"/>
      <c r="L69" s="393"/>
      <c r="M69" s="393"/>
      <c r="N69" s="393"/>
      <c r="O69" s="393"/>
      <c r="P69" s="393"/>
      <c r="Q69" s="393"/>
    </row>
  </sheetData>
  <mergeCells count="6">
    <mergeCell ref="S13:Y13"/>
    <mergeCell ref="J69:Q69"/>
    <mergeCell ref="B4:G4"/>
    <mergeCell ref="B6:G6"/>
    <mergeCell ref="B3:G3"/>
    <mergeCell ref="J13:Q1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02"/>
  <sheetViews>
    <sheetView topLeftCell="A24" zoomScale="85" zoomScaleNormal="85" zoomScaleSheetLayoutView="85" workbookViewId="0">
      <pane xSplit="23925" topLeftCell="R1"/>
      <selection activeCell="E24" sqref="E24"/>
      <selection pane="topRight" activeCell="S40" sqref="S40"/>
    </sheetView>
  </sheetViews>
  <sheetFormatPr baseColWidth="10" defaultColWidth="11.5703125" defaultRowHeight="15" x14ac:dyDescent="0.25"/>
  <cols>
    <col min="1" max="1" width="5" style="180" customWidth="1"/>
    <col min="2" max="2" width="11.5703125" style="180"/>
    <col min="3" max="3" width="75.28515625" style="180" customWidth="1"/>
    <col min="4" max="4" width="11.5703125" style="180"/>
    <col min="5" max="5" width="13.85546875" style="180" bestFit="1" customWidth="1"/>
    <col min="6" max="6" width="15.85546875" style="180" customWidth="1"/>
    <col min="7" max="7" width="15.140625" style="180" bestFit="1" customWidth="1"/>
    <col min="8" max="8" width="1.140625" style="180" customWidth="1"/>
    <col min="9" max="16384" width="11.5703125" style="180"/>
  </cols>
  <sheetData>
    <row r="3" spans="2:8" x14ac:dyDescent="0.25">
      <c r="B3" s="391" t="s">
        <v>417</v>
      </c>
      <c r="C3" s="391"/>
      <c r="D3" s="391"/>
      <c r="E3" s="391"/>
      <c r="F3" s="391"/>
      <c r="G3" s="391"/>
    </row>
    <row r="4" spans="2:8" x14ac:dyDescent="0.25">
      <c r="B4" s="391" t="s">
        <v>431</v>
      </c>
      <c r="C4" s="391"/>
      <c r="D4" s="391"/>
      <c r="E4" s="391"/>
      <c r="F4" s="391"/>
      <c r="G4" s="391"/>
    </row>
    <row r="5" spans="2:8" x14ac:dyDescent="0.25">
      <c r="B5" s="388" t="s">
        <v>586</v>
      </c>
      <c r="C5" s="388"/>
      <c r="D5" s="388"/>
      <c r="E5" s="388"/>
      <c r="F5" s="388"/>
      <c r="G5" s="388"/>
      <c r="H5" s="328"/>
    </row>
    <row r="6" spans="2:8" x14ac:dyDescent="0.25">
      <c r="B6" s="367"/>
      <c r="C6" s="367"/>
      <c r="D6" s="367"/>
      <c r="E6" s="367"/>
      <c r="F6" s="367"/>
      <c r="G6" s="367"/>
      <c r="H6" s="328"/>
    </row>
    <row r="7" spans="2:8" ht="45" customHeight="1" x14ac:dyDescent="0.25">
      <c r="B7" s="388" t="s">
        <v>585</v>
      </c>
      <c r="C7" s="388"/>
      <c r="D7" s="388"/>
      <c r="E7" s="388"/>
      <c r="F7" s="388"/>
      <c r="G7" s="388"/>
      <c r="H7" s="328"/>
    </row>
    <row r="8" spans="2:8" x14ac:dyDescent="0.25">
      <c r="F8" s="397"/>
      <c r="G8" s="397"/>
    </row>
    <row r="9" spans="2:8" x14ac:dyDescent="0.25">
      <c r="B9" s="398" t="s">
        <v>583</v>
      </c>
      <c r="C9" s="398"/>
      <c r="D9" s="398"/>
      <c r="E9" s="398"/>
      <c r="F9" s="398"/>
      <c r="G9" s="398"/>
    </row>
    <row r="10" spans="2:8" ht="30" x14ac:dyDescent="0.25">
      <c r="B10" s="329" t="s">
        <v>10</v>
      </c>
      <c r="C10" s="329" t="s">
        <v>5</v>
      </c>
      <c r="D10" s="329" t="s">
        <v>6</v>
      </c>
      <c r="E10" s="330" t="s">
        <v>7</v>
      </c>
      <c r="F10" s="330" t="s">
        <v>279</v>
      </c>
      <c r="G10" s="330" t="s">
        <v>280</v>
      </c>
    </row>
    <row r="11" spans="2:8" x14ac:dyDescent="0.25">
      <c r="B11" s="169"/>
      <c r="C11" s="169"/>
      <c r="D11" s="141"/>
      <c r="E11" s="141"/>
      <c r="F11" s="207"/>
      <c r="G11" s="207"/>
    </row>
    <row r="12" spans="2:8" x14ac:dyDescent="0.25">
      <c r="B12" s="361">
        <v>1</v>
      </c>
      <c r="C12" s="14" t="s">
        <v>421</v>
      </c>
      <c r="D12" s="141"/>
      <c r="E12" s="141"/>
      <c r="F12" s="207"/>
      <c r="G12" s="362">
        <f>SUM(G13:G16)</f>
        <v>0</v>
      </c>
    </row>
    <row r="13" spans="2:8" x14ac:dyDescent="0.25">
      <c r="B13" s="141">
        <v>1.1000000000000001</v>
      </c>
      <c r="C13" s="230" t="s">
        <v>599</v>
      </c>
      <c r="D13" s="141" t="s">
        <v>84</v>
      </c>
      <c r="E13" s="323">
        <v>1978</v>
      </c>
      <c r="F13" s="207">
        <v>0</v>
      </c>
      <c r="G13" s="207">
        <f>+E13*F13</f>
        <v>0</v>
      </c>
    </row>
    <row r="14" spans="2:8" x14ac:dyDescent="0.25">
      <c r="B14" s="363">
        <v>1.2</v>
      </c>
      <c r="C14" s="230" t="s">
        <v>600</v>
      </c>
      <c r="D14" s="141" t="s">
        <v>88</v>
      </c>
      <c r="E14" s="323">
        <v>1302.01</v>
      </c>
      <c r="F14" s="207">
        <v>0</v>
      </c>
      <c r="G14" s="207">
        <f>+E14*F14</f>
        <v>0</v>
      </c>
    </row>
    <row r="15" spans="2:8" x14ac:dyDescent="0.25">
      <c r="B15" s="141">
        <v>1.3</v>
      </c>
      <c r="C15" s="230" t="s">
        <v>601</v>
      </c>
      <c r="D15" s="141" t="s">
        <v>88</v>
      </c>
      <c r="E15" s="323">
        <v>958.19</v>
      </c>
      <c r="F15" s="207">
        <v>0</v>
      </c>
      <c r="G15" s="207">
        <f>+E15*F15</f>
        <v>0</v>
      </c>
    </row>
    <row r="16" spans="2:8" x14ac:dyDescent="0.25">
      <c r="B16" s="141">
        <v>1.4</v>
      </c>
      <c r="C16" s="230" t="s">
        <v>602</v>
      </c>
      <c r="D16" s="141" t="s">
        <v>88</v>
      </c>
      <c r="E16" s="323">
        <v>624.87</v>
      </c>
      <c r="F16" s="207">
        <v>0</v>
      </c>
      <c r="G16" s="207">
        <f>+E16*F16</f>
        <v>0</v>
      </c>
    </row>
    <row r="17" spans="2:7" x14ac:dyDescent="0.25">
      <c r="B17" s="141"/>
      <c r="C17" s="230"/>
      <c r="D17" s="141"/>
      <c r="E17" s="229"/>
      <c r="F17" s="207"/>
      <c r="G17" s="207"/>
    </row>
    <row r="18" spans="2:7" x14ac:dyDescent="0.25">
      <c r="B18" s="368">
        <v>2</v>
      </c>
      <c r="C18" s="14" t="s">
        <v>366</v>
      </c>
      <c r="D18" s="141"/>
      <c r="E18" s="141"/>
      <c r="F18" s="207"/>
      <c r="G18" s="334">
        <f>SUM(G19:G20)</f>
        <v>0</v>
      </c>
    </row>
    <row r="19" spans="2:7" x14ac:dyDescent="0.25">
      <c r="B19" s="333">
        <v>2.1</v>
      </c>
      <c r="C19" s="243" t="s">
        <v>603</v>
      </c>
      <c r="D19" s="333" t="s">
        <v>88</v>
      </c>
      <c r="E19" s="323">
        <v>1583.06</v>
      </c>
      <c r="F19" s="209">
        <v>0</v>
      </c>
      <c r="G19" s="209">
        <f>+F19*E19</f>
        <v>0</v>
      </c>
    </row>
    <row r="20" spans="2:7" ht="30" x14ac:dyDescent="0.25">
      <c r="B20" s="333">
        <v>2.2000000000000002</v>
      </c>
      <c r="C20" s="243" t="s">
        <v>604</v>
      </c>
      <c r="D20" s="333" t="s">
        <v>88</v>
      </c>
      <c r="E20" s="323">
        <v>2885.08</v>
      </c>
      <c r="F20" s="209">
        <v>0</v>
      </c>
      <c r="G20" s="209">
        <f>+E20*F20</f>
        <v>0</v>
      </c>
    </row>
    <row r="21" spans="2:7" x14ac:dyDescent="0.25">
      <c r="B21" s="141"/>
      <c r="C21" s="230"/>
      <c r="D21" s="141"/>
      <c r="E21" s="229"/>
      <c r="F21" s="207"/>
      <c r="G21" s="207"/>
    </row>
    <row r="22" spans="2:7" x14ac:dyDescent="0.25">
      <c r="B22" s="368">
        <v>3</v>
      </c>
      <c r="C22" s="15" t="s">
        <v>420</v>
      </c>
      <c r="D22" s="141"/>
      <c r="E22" s="229"/>
      <c r="F22" s="207"/>
      <c r="G22" s="334">
        <f>SUM(G24:G39)</f>
        <v>0</v>
      </c>
    </row>
    <row r="23" spans="2:7" x14ac:dyDescent="0.25">
      <c r="B23" s="369">
        <v>3</v>
      </c>
      <c r="C23" s="325" t="s">
        <v>587</v>
      </c>
      <c r="D23" s="326" t="s">
        <v>33</v>
      </c>
      <c r="E23" s="323">
        <v>50</v>
      </c>
      <c r="F23" s="209">
        <v>0</v>
      </c>
      <c r="G23" s="209">
        <f t="shared" ref="G23" si="0">+F23*E23</f>
        <v>0</v>
      </c>
    </row>
    <row r="24" spans="2:7" s="335" customFormat="1" x14ac:dyDescent="0.25">
      <c r="B24" s="324">
        <v>3.1</v>
      </c>
      <c r="C24" s="325" t="s">
        <v>587</v>
      </c>
      <c r="D24" s="326" t="s">
        <v>33</v>
      </c>
      <c r="E24" s="323">
        <v>1767.04</v>
      </c>
      <c r="F24" s="209">
        <v>0</v>
      </c>
      <c r="G24" s="209">
        <f t="shared" ref="G24:G34" si="1">+F24*E24</f>
        <v>0</v>
      </c>
    </row>
    <row r="25" spans="2:7" s="335" customFormat="1" x14ac:dyDescent="0.25">
      <c r="B25" s="324">
        <v>3.2</v>
      </c>
      <c r="C25" s="325" t="s">
        <v>605</v>
      </c>
      <c r="D25" s="326" t="s">
        <v>425</v>
      </c>
      <c r="E25" s="323">
        <v>156</v>
      </c>
      <c r="F25" s="209">
        <v>0</v>
      </c>
      <c r="G25" s="209">
        <f t="shared" si="1"/>
        <v>0</v>
      </c>
    </row>
    <row r="26" spans="2:7" s="335" customFormat="1" x14ac:dyDescent="0.25">
      <c r="B26" s="324">
        <v>3.3</v>
      </c>
      <c r="C26" s="325" t="s">
        <v>444</v>
      </c>
      <c r="D26" s="326" t="s">
        <v>425</v>
      </c>
      <c r="E26" s="323">
        <v>2</v>
      </c>
      <c r="F26" s="209">
        <v>0</v>
      </c>
      <c r="G26" s="209">
        <f t="shared" si="1"/>
        <v>0</v>
      </c>
    </row>
    <row r="27" spans="2:7" s="335" customFormat="1" x14ac:dyDescent="0.25">
      <c r="B27" s="324">
        <v>3.4</v>
      </c>
      <c r="C27" s="325" t="s">
        <v>445</v>
      </c>
      <c r="D27" s="326" t="s">
        <v>425</v>
      </c>
      <c r="E27" s="323">
        <v>2</v>
      </c>
      <c r="F27" s="209">
        <v>0</v>
      </c>
      <c r="G27" s="209">
        <f t="shared" si="1"/>
        <v>0</v>
      </c>
    </row>
    <row r="28" spans="2:7" s="335" customFormat="1" x14ac:dyDescent="0.25">
      <c r="B28" s="324">
        <v>3.5</v>
      </c>
      <c r="C28" s="325" t="s">
        <v>446</v>
      </c>
      <c r="D28" s="326" t="s">
        <v>425</v>
      </c>
      <c r="E28" s="323">
        <v>2</v>
      </c>
      <c r="F28" s="209">
        <v>0</v>
      </c>
      <c r="G28" s="209">
        <f t="shared" si="1"/>
        <v>0</v>
      </c>
    </row>
    <row r="29" spans="2:7" s="335" customFormat="1" x14ac:dyDescent="0.25">
      <c r="B29" s="324">
        <v>3.6</v>
      </c>
      <c r="C29" s="325" t="s">
        <v>447</v>
      </c>
      <c r="D29" s="326" t="s">
        <v>425</v>
      </c>
      <c r="E29" s="323">
        <v>2</v>
      </c>
      <c r="F29" s="209">
        <v>0</v>
      </c>
      <c r="G29" s="209">
        <f t="shared" si="1"/>
        <v>0</v>
      </c>
    </row>
    <row r="30" spans="2:7" s="335" customFormat="1" x14ac:dyDescent="0.25">
      <c r="B30" s="324">
        <v>3.7</v>
      </c>
      <c r="C30" s="325" t="s">
        <v>448</v>
      </c>
      <c r="D30" s="326" t="s">
        <v>425</v>
      </c>
      <c r="E30" s="323">
        <v>5</v>
      </c>
      <c r="F30" s="209">
        <v>0</v>
      </c>
      <c r="G30" s="209">
        <f t="shared" si="1"/>
        <v>0</v>
      </c>
    </row>
    <row r="31" spans="2:7" s="335" customFormat="1" x14ac:dyDescent="0.25">
      <c r="B31" s="324">
        <v>3.8</v>
      </c>
      <c r="C31" s="325" t="s">
        <v>449</v>
      </c>
      <c r="D31" s="326" t="s">
        <v>425</v>
      </c>
      <c r="E31" s="323">
        <v>5</v>
      </c>
      <c r="F31" s="209">
        <v>0</v>
      </c>
      <c r="G31" s="209">
        <f t="shared" si="1"/>
        <v>0</v>
      </c>
    </row>
    <row r="32" spans="2:7" s="335" customFormat="1" x14ac:dyDescent="0.25">
      <c r="B32" s="324">
        <v>3.9</v>
      </c>
      <c r="C32" s="325" t="s">
        <v>562</v>
      </c>
      <c r="D32" s="326" t="s">
        <v>425</v>
      </c>
      <c r="E32" s="323">
        <v>1</v>
      </c>
      <c r="F32" s="209">
        <v>0</v>
      </c>
      <c r="G32" s="209">
        <f t="shared" si="1"/>
        <v>0</v>
      </c>
    </row>
    <row r="33" spans="2:7" s="335" customFormat="1" x14ac:dyDescent="0.25">
      <c r="B33" s="232">
        <v>3.1</v>
      </c>
      <c r="C33" s="325" t="s">
        <v>606</v>
      </c>
      <c r="D33" s="326" t="s">
        <v>425</v>
      </c>
      <c r="E33" s="323">
        <v>4</v>
      </c>
      <c r="F33" s="209">
        <v>0</v>
      </c>
      <c r="G33" s="209">
        <f t="shared" si="1"/>
        <v>0</v>
      </c>
    </row>
    <row r="34" spans="2:7" s="335" customFormat="1" x14ac:dyDescent="0.25">
      <c r="B34" s="324">
        <v>3.11</v>
      </c>
      <c r="C34" s="325" t="s">
        <v>607</v>
      </c>
      <c r="D34" s="326" t="s">
        <v>425</v>
      </c>
      <c r="E34" s="323">
        <v>4</v>
      </c>
      <c r="F34" s="209">
        <v>0</v>
      </c>
      <c r="G34" s="209">
        <f t="shared" si="1"/>
        <v>0</v>
      </c>
    </row>
    <row r="35" spans="2:7" x14ac:dyDescent="0.25">
      <c r="B35" s="324">
        <v>3.12</v>
      </c>
      <c r="C35" s="325" t="s">
        <v>608</v>
      </c>
      <c r="D35" s="326" t="s">
        <v>425</v>
      </c>
      <c r="E35" s="323">
        <v>4</v>
      </c>
      <c r="F35" s="209">
        <v>0</v>
      </c>
      <c r="G35" s="209">
        <f t="shared" ref="G35:G39" si="2">+F35*E35</f>
        <v>0</v>
      </c>
    </row>
    <row r="36" spans="2:7" s="335" customFormat="1" x14ac:dyDescent="0.25">
      <c r="B36" s="324">
        <v>3.13</v>
      </c>
      <c r="C36" s="325" t="s">
        <v>609</v>
      </c>
      <c r="D36" s="326" t="s">
        <v>425</v>
      </c>
      <c r="E36" s="323">
        <v>13</v>
      </c>
      <c r="F36" s="209">
        <v>0</v>
      </c>
      <c r="G36" s="209">
        <f t="shared" si="2"/>
        <v>0</v>
      </c>
    </row>
    <row r="37" spans="2:7" x14ac:dyDescent="0.25">
      <c r="B37" s="324">
        <v>3.14</v>
      </c>
      <c r="C37" s="325" t="s">
        <v>610</v>
      </c>
      <c r="D37" s="326" t="s">
        <v>425</v>
      </c>
      <c r="E37" s="323">
        <v>13</v>
      </c>
      <c r="F37" s="209">
        <v>0</v>
      </c>
      <c r="G37" s="209">
        <f t="shared" si="2"/>
        <v>0</v>
      </c>
    </row>
    <row r="38" spans="2:7" s="335" customFormat="1" x14ac:dyDescent="0.25">
      <c r="B38" s="324">
        <v>3.15</v>
      </c>
      <c r="C38" s="325" t="s">
        <v>611</v>
      </c>
      <c r="D38" s="326" t="s">
        <v>425</v>
      </c>
      <c r="E38" s="323">
        <v>13</v>
      </c>
      <c r="F38" s="209">
        <v>0</v>
      </c>
      <c r="G38" s="209">
        <f t="shared" si="2"/>
        <v>0</v>
      </c>
    </row>
    <row r="39" spans="2:7" x14ac:dyDescent="0.25">
      <c r="B39" s="324">
        <v>3.16</v>
      </c>
      <c r="C39" s="325" t="s">
        <v>612</v>
      </c>
      <c r="D39" s="326" t="s">
        <v>425</v>
      </c>
      <c r="E39" s="323">
        <v>34</v>
      </c>
      <c r="F39" s="209">
        <v>0</v>
      </c>
      <c r="G39" s="209">
        <f t="shared" si="2"/>
        <v>0</v>
      </c>
    </row>
    <row r="40" spans="2:7" x14ac:dyDescent="0.25">
      <c r="B40" s="368"/>
      <c r="C40" s="14"/>
      <c r="D40" s="141"/>
      <c r="E40" s="141"/>
      <c r="F40" s="207"/>
      <c r="G40" s="334"/>
    </row>
    <row r="41" spans="2:7" x14ac:dyDescent="0.25">
      <c r="B41" s="368">
        <v>4</v>
      </c>
      <c r="C41" s="14" t="s">
        <v>451</v>
      </c>
      <c r="D41" s="141"/>
      <c r="E41" s="141"/>
      <c r="F41" s="207"/>
      <c r="G41" s="334">
        <f>SUM(G42:G49)</f>
        <v>0</v>
      </c>
    </row>
    <row r="42" spans="2:7" x14ac:dyDescent="0.25">
      <c r="B42" s="324">
        <v>4.0999999999999996</v>
      </c>
      <c r="C42" s="336" t="s">
        <v>613</v>
      </c>
      <c r="D42" s="324" t="s">
        <v>84</v>
      </c>
      <c r="E42" s="323">
        <v>1437.74</v>
      </c>
      <c r="F42" s="337">
        <v>0</v>
      </c>
      <c r="G42" s="337">
        <f>+F42*E42</f>
        <v>0</v>
      </c>
    </row>
    <row r="43" spans="2:7" ht="28.9" customHeight="1" x14ac:dyDescent="0.25">
      <c r="B43" s="324">
        <v>4.2</v>
      </c>
      <c r="C43" s="336" t="s">
        <v>614</v>
      </c>
      <c r="D43" s="324" t="s">
        <v>84</v>
      </c>
      <c r="E43" s="323">
        <v>1437.74</v>
      </c>
      <c r="F43" s="337">
        <v>0</v>
      </c>
      <c r="G43" s="337">
        <f t="shared" ref="G43:G49" si="3">+F43*E43</f>
        <v>0</v>
      </c>
    </row>
    <row r="44" spans="2:7" ht="28.9" customHeight="1" x14ac:dyDescent="0.25">
      <c r="B44" s="324">
        <v>4.3</v>
      </c>
      <c r="C44" s="336" t="s">
        <v>615</v>
      </c>
      <c r="D44" s="324" t="s">
        <v>88</v>
      </c>
      <c r="E44" s="323">
        <v>431.32</v>
      </c>
      <c r="F44" s="337">
        <v>0</v>
      </c>
      <c r="G44" s="337">
        <f t="shared" si="3"/>
        <v>0</v>
      </c>
    </row>
    <row r="45" spans="2:7" ht="28.9" customHeight="1" x14ac:dyDescent="0.25">
      <c r="B45" s="324">
        <v>4.4000000000000004</v>
      </c>
      <c r="C45" s="336" t="s">
        <v>616</v>
      </c>
      <c r="D45" s="324" t="s">
        <v>88</v>
      </c>
      <c r="E45" s="323">
        <v>287.55</v>
      </c>
      <c r="F45" s="337">
        <v>0</v>
      </c>
      <c r="G45" s="337">
        <f t="shared" si="3"/>
        <v>0</v>
      </c>
    </row>
    <row r="46" spans="2:7" ht="28.9" customHeight="1" x14ac:dyDescent="0.25">
      <c r="B46" s="324">
        <v>4.5</v>
      </c>
      <c r="C46" s="336" t="s">
        <v>617</v>
      </c>
      <c r="D46" s="324" t="s">
        <v>88</v>
      </c>
      <c r="E46" s="323">
        <v>71.89</v>
      </c>
      <c r="F46" s="337">
        <v>0</v>
      </c>
      <c r="G46" s="337">
        <f t="shared" si="3"/>
        <v>0</v>
      </c>
    </row>
    <row r="47" spans="2:7" ht="28.9" customHeight="1" x14ac:dyDescent="0.25">
      <c r="B47" s="324">
        <v>4.5999999999999996</v>
      </c>
      <c r="C47" s="336" t="s">
        <v>618</v>
      </c>
      <c r="D47" s="324" t="s">
        <v>88</v>
      </c>
      <c r="E47" s="323">
        <v>71.89</v>
      </c>
      <c r="F47" s="337">
        <v>0</v>
      </c>
      <c r="G47" s="337">
        <f t="shared" si="3"/>
        <v>0</v>
      </c>
    </row>
    <row r="48" spans="2:7" ht="28.9" customHeight="1" x14ac:dyDescent="0.25">
      <c r="B48" s="324">
        <v>4.7</v>
      </c>
      <c r="C48" s="336" t="s">
        <v>619</v>
      </c>
      <c r="D48" s="324" t="s">
        <v>84</v>
      </c>
      <c r="E48" s="323">
        <v>1437.74</v>
      </c>
      <c r="F48" s="337">
        <v>0</v>
      </c>
      <c r="G48" s="337">
        <f t="shared" si="3"/>
        <v>0</v>
      </c>
    </row>
    <row r="49" spans="2:7" ht="28.9" customHeight="1" x14ac:dyDescent="0.25">
      <c r="B49" s="324">
        <v>4.8</v>
      </c>
      <c r="C49" s="336" t="s">
        <v>620</v>
      </c>
      <c r="D49" s="324" t="s">
        <v>84</v>
      </c>
      <c r="E49" s="323">
        <v>1437.74</v>
      </c>
      <c r="F49" s="337">
        <v>0</v>
      </c>
      <c r="G49" s="337">
        <f t="shared" si="3"/>
        <v>0</v>
      </c>
    </row>
    <row r="50" spans="2:7" ht="14.45" customHeight="1" x14ac:dyDescent="0.25">
      <c r="B50" s="368"/>
      <c r="C50" s="14"/>
      <c r="D50" s="141"/>
      <c r="E50" s="141"/>
      <c r="F50" s="207"/>
      <c r="G50" s="334"/>
    </row>
    <row r="51" spans="2:7" ht="14.45" customHeight="1" x14ac:dyDescent="0.25">
      <c r="B51" s="368">
        <v>5</v>
      </c>
      <c r="C51" s="14" t="s">
        <v>456</v>
      </c>
      <c r="D51" s="141"/>
      <c r="E51" s="141"/>
      <c r="F51" s="207"/>
      <c r="G51" s="334">
        <f>SUM(G52:G54)</f>
        <v>0</v>
      </c>
    </row>
    <row r="52" spans="2:7" ht="14.45" customHeight="1" x14ac:dyDescent="0.25">
      <c r="B52" s="324">
        <v>5.0999999999999996</v>
      </c>
      <c r="C52" s="336" t="s">
        <v>457</v>
      </c>
      <c r="D52" s="324" t="s">
        <v>33</v>
      </c>
      <c r="E52" s="323">
        <v>110.78</v>
      </c>
      <c r="F52" s="337">
        <v>0</v>
      </c>
      <c r="G52" s="337">
        <f>+F52*E52</f>
        <v>0</v>
      </c>
    </row>
    <row r="53" spans="2:7" ht="30" x14ac:dyDescent="0.25">
      <c r="B53" s="324">
        <v>5.2</v>
      </c>
      <c r="C53" s="325" t="s">
        <v>488</v>
      </c>
      <c r="D53" s="326" t="s">
        <v>33</v>
      </c>
      <c r="E53" s="323">
        <v>110.78</v>
      </c>
      <c r="F53" s="209">
        <v>0</v>
      </c>
      <c r="G53" s="209">
        <f>+F53*E53</f>
        <v>0</v>
      </c>
    </row>
    <row r="54" spans="2:7" ht="14.45" customHeight="1" x14ac:dyDescent="0.25">
      <c r="B54" s="324">
        <v>5.3</v>
      </c>
      <c r="C54" s="336" t="s">
        <v>621</v>
      </c>
      <c r="D54" s="324" t="s">
        <v>88</v>
      </c>
      <c r="E54" s="323">
        <v>6.38</v>
      </c>
      <c r="F54" s="337">
        <v>0</v>
      </c>
      <c r="G54" s="337">
        <f>+F54*E54</f>
        <v>0</v>
      </c>
    </row>
    <row r="55" spans="2:7" ht="14.45" customHeight="1" x14ac:dyDescent="0.25">
      <c r="B55" s="324"/>
      <c r="C55" s="336"/>
      <c r="D55" s="324"/>
      <c r="E55" s="232"/>
      <c r="F55" s="337"/>
      <c r="G55" s="337"/>
    </row>
    <row r="56" spans="2:7" ht="14.45" customHeight="1" x14ac:dyDescent="0.25">
      <c r="B56" s="329">
        <v>6</v>
      </c>
      <c r="C56" s="338" t="s">
        <v>461</v>
      </c>
      <c r="D56" s="329"/>
      <c r="E56" s="339"/>
      <c r="F56" s="334"/>
      <c r="G56" s="334">
        <f>SUM(G57:G63)</f>
        <v>0</v>
      </c>
    </row>
    <row r="57" spans="2:7" ht="14.45" customHeight="1" x14ac:dyDescent="0.25">
      <c r="B57" s="324">
        <v>6.1</v>
      </c>
      <c r="C57" s="336" t="s">
        <v>462</v>
      </c>
      <c r="D57" s="324" t="s">
        <v>84</v>
      </c>
      <c r="E57" s="323">
        <v>45.12</v>
      </c>
      <c r="F57" s="337">
        <v>0</v>
      </c>
      <c r="G57" s="337">
        <f t="shared" ref="G57:G63" si="4">+F57*E57</f>
        <v>0</v>
      </c>
    </row>
    <row r="58" spans="2:7" ht="28.9" customHeight="1" x14ac:dyDescent="0.25">
      <c r="B58" s="324">
        <v>6.2</v>
      </c>
      <c r="C58" s="336" t="s">
        <v>604</v>
      </c>
      <c r="D58" s="324" t="s">
        <v>88</v>
      </c>
      <c r="E58" s="323">
        <v>250.12</v>
      </c>
      <c r="F58" s="337">
        <v>0</v>
      </c>
      <c r="G58" s="337">
        <f t="shared" si="4"/>
        <v>0</v>
      </c>
    </row>
    <row r="59" spans="2:7" ht="28.9" customHeight="1" x14ac:dyDescent="0.25">
      <c r="B59" s="324">
        <v>6.3</v>
      </c>
      <c r="C59" s="325" t="s">
        <v>622</v>
      </c>
      <c r="D59" s="326" t="s">
        <v>84</v>
      </c>
      <c r="E59" s="323">
        <v>300</v>
      </c>
      <c r="F59" s="209">
        <v>0</v>
      </c>
      <c r="G59" s="209">
        <f t="shared" si="4"/>
        <v>0</v>
      </c>
    </row>
    <row r="60" spans="2:7" ht="28.9" customHeight="1" x14ac:dyDescent="0.25">
      <c r="B60" s="324">
        <v>6.4</v>
      </c>
      <c r="C60" s="336" t="s">
        <v>463</v>
      </c>
      <c r="D60" s="324" t="str">
        <f>+[19]Cámara!C8</f>
        <v>m3</v>
      </c>
      <c r="E60" s="323">
        <v>2.2599999999999998</v>
      </c>
      <c r="F60" s="337">
        <v>0</v>
      </c>
      <c r="G60" s="337">
        <f t="shared" si="4"/>
        <v>0</v>
      </c>
    </row>
    <row r="61" spans="2:7" ht="14.45" customHeight="1" x14ac:dyDescent="0.25">
      <c r="B61" s="324">
        <v>6.5</v>
      </c>
      <c r="C61" s="336" t="s">
        <v>464</v>
      </c>
      <c r="D61" s="324" t="str">
        <f>+[19]Cámara!C9</f>
        <v>kg</v>
      </c>
      <c r="E61" s="323">
        <v>2868.4</v>
      </c>
      <c r="F61" s="337">
        <v>0</v>
      </c>
      <c r="G61" s="337">
        <f t="shared" si="4"/>
        <v>0</v>
      </c>
    </row>
    <row r="62" spans="2:7" ht="43.15" customHeight="1" x14ac:dyDescent="0.25">
      <c r="B62" s="324">
        <v>6.6</v>
      </c>
      <c r="C62" s="336" t="s">
        <v>465</v>
      </c>
      <c r="D62" s="324" t="str">
        <f>+[19]Cámara!C10</f>
        <v>m3</v>
      </c>
      <c r="E62" s="323">
        <v>28.18</v>
      </c>
      <c r="F62" s="337">
        <v>0</v>
      </c>
      <c r="G62" s="337">
        <f t="shared" si="4"/>
        <v>0</v>
      </c>
    </row>
    <row r="63" spans="2:7" x14ac:dyDescent="0.25">
      <c r="B63" s="363">
        <v>6.7</v>
      </c>
      <c r="C63" s="230" t="s">
        <v>600</v>
      </c>
      <c r="D63" s="141" t="str">
        <f>+[19]Cámara!C11</f>
        <v>m3</v>
      </c>
      <c r="E63" s="323">
        <v>150.86000000000001</v>
      </c>
      <c r="F63" s="207">
        <v>0</v>
      </c>
      <c r="G63" s="207">
        <f t="shared" si="4"/>
        <v>0</v>
      </c>
    </row>
    <row r="64" spans="2:7" x14ac:dyDescent="0.25">
      <c r="B64" s="324"/>
      <c r="C64" s="336"/>
      <c r="D64" s="324"/>
      <c r="E64" s="232"/>
      <c r="F64" s="337"/>
      <c r="G64" s="337"/>
    </row>
    <row r="65" spans="2:7" x14ac:dyDescent="0.25">
      <c r="B65" s="329">
        <v>7</v>
      </c>
      <c r="C65" s="338" t="s">
        <v>466</v>
      </c>
      <c r="D65" s="329"/>
      <c r="E65" s="339"/>
      <c r="F65" s="334"/>
      <c r="G65" s="334">
        <f>SUM(G66:G71)</f>
        <v>0</v>
      </c>
    </row>
    <row r="66" spans="2:7" x14ac:dyDescent="0.25">
      <c r="B66" s="324">
        <v>7.1</v>
      </c>
      <c r="C66" s="336" t="s">
        <v>462</v>
      </c>
      <c r="D66" s="324" t="str">
        <f>+D57</f>
        <v>m2</v>
      </c>
      <c r="E66" s="323">
        <v>90.24</v>
      </c>
      <c r="F66" s="337">
        <v>0</v>
      </c>
      <c r="G66" s="337">
        <f>+F66*E66</f>
        <v>0</v>
      </c>
    </row>
    <row r="67" spans="2:7" ht="28.9" customHeight="1" x14ac:dyDescent="0.25">
      <c r="B67" s="324">
        <v>7.2</v>
      </c>
      <c r="C67" s="336" t="s">
        <v>604</v>
      </c>
      <c r="D67" s="324" t="str">
        <f>+D58</f>
        <v>m3</v>
      </c>
      <c r="E67" s="323">
        <v>108</v>
      </c>
      <c r="F67" s="337">
        <v>0</v>
      </c>
      <c r="G67" s="337">
        <f t="shared" ref="G67:G71" si="5">+F67*E67</f>
        <v>0</v>
      </c>
    </row>
    <row r="68" spans="2:7" ht="28.9" customHeight="1" x14ac:dyDescent="0.25">
      <c r="B68" s="324">
        <v>7.3</v>
      </c>
      <c r="C68" s="336" t="s">
        <v>463</v>
      </c>
      <c r="D68" s="324" t="str">
        <f t="shared" ref="D68:D71" si="6">+D60</f>
        <v>m3</v>
      </c>
      <c r="E68" s="323">
        <v>0.9</v>
      </c>
      <c r="F68" s="337">
        <v>0</v>
      </c>
      <c r="G68" s="337">
        <f t="shared" si="5"/>
        <v>0</v>
      </c>
    </row>
    <row r="69" spans="2:7" x14ac:dyDescent="0.25">
      <c r="B69" s="324">
        <v>7.4</v>
      </c>
      <c r="C69" s="336" t="s">
        <v>464</v>
      </c>
      <c r="D69" s="324" t="str">
        <f t="shared" si="6"/>
        <v>kg</v>
      </c>
      <c r="E69" s="323">
        <v>2368</v>
      </c>
      <c r="F69" s="337">
        <v>0</v>
      </c>
      <c r="G69" s="337">
        <f t="shared" si="5"/>
        <v>0</v>
      </c>
    </row>
    <row r="70" spans="2:7" ht="28.9" customHeight="1" x14ac:dyDescent="0.25">
      <c r="B70" s="324">
        <v>7.5</v>
      </c>
      <c r="C70" s="336" t="s">
        <v>465</v>
      </c>
      <c r="D70" s="324" t="str">
        <f t="shared" si="6"/>
        <v>m3</v>
      </c>
      <c r="E70" s="323">
        <v>18.22</v>
      </c>
      <c r="F70" s="337">
        <v>0</v>
      </c>
      <c r="G70" s="337">
        <f t="shared" si="5"/>
        <v>0</v>
      </c>
    </row>
    <row r="71" spans="2:7" x14ac:dyDescent="0.25">
      <c r="B71" s="363">
        <v>7.6</v>
      </c>
      <c r="C71" s="230" t="s">
        <v>600</v>
      </c>
      <c r="D71" s="141" t="str">
        <f t="shared" si="6"/>
        <v>m3</v>
      </c>
      <c r="E71" s="323">
        <v>181.03</v>
      </c>
      <c r="F71" s="207">
        <v>0</v>
      </c>
      <c r="G71" s="207">
        <f t="shared" si="5"/>
        <v>0</v>
      </c>
    </row>
    <row r="72" spans="2:7" ht="14.45" customHeight="1" x14ac:dyDescent="0.25">
      <c r="B72" s="340"/>
      <c r="C72" s="341"/>
      <c r="D72" s="340"/>
      <c r="E72" s="342"/>
      <c r="F72" s="343"/>
      <c r="G72" s="343"/>
    </row>
    <row r="73" spans="2:7" ht="14.45" customHeight="1" x14ac:dyDescent="0.25">
      <c r="B73" s="344"/>
      <c r="C73" s="35"/>
      <c r="D73" s="345"/>
      <c r="E73" s="340"/>
      <c r="F73" s="346"/>
      <c r="G73" s="347"/>
    </row>
    <row r="74" spans="2:7" x14ac:dyDescent="0.25">
      <c r="B74" s="348"/>
      <c r="C74" s="11" t="s">
        <v>17</v>
      </c>
      <c r="D74" s="348"/>
      <c r="E74" s="348"/>
      <c r="F74" s="348"/>
      <c r="G74" s="349">
        <f>+G18+G22+G12+G41+G51+G56+G65</f>
        <v>0</v>
      </c>
    </row>
    <row r="75" spans="2:7" x14ac:dyDescent="0.25">
      <c r="B75" s="348"/>
      <c r="C75" s="11" t="s">
        <v>458</v>
      </c>
      <c r="D75" s="350">
        <v>0</v>
      </c>
      <c r="E75" s="348"/>
      <c r="F75" s="348"/>
      <c r="G75" s="349">
        <f>+G74*D75</f>
        <v>0</v>
      </c>
    </row>
    <row r="76" spans="2:7" x14ac:dyDescent="0.25">
      <c r="B76" s="348"/>
      <c r="C76" s="11" t="s">
        <v>459</v>
      </c>
      <c r="D76" s="350">
        <v>0</v>
      </c>
      <c r="E76" s="348"/>
      <c r="F76" s="348"/>
      <c r="G76" s="349">
        <f>+G74*D76</f>
        <v>0</v>
      </c>
    </row>
    <row r="77" spans="2:7" x14ac:dyDescent="0.25">
      <c r="B77" s="348"/>
      <c r="C77" s="11" t="s">
        <v>181</v>
      </c>
      <c r="D77" s="350">
        <v>0</v>
      </c>
      <c r="E77" s="348"/>
      <c r="F77" s="348"/>
      <c r="G77" s="349">
        <f>+G74*D77</f>
        <v>0</v>
      </c>
    </row>
    <row r="78" spans="2:7" x14ac:dyDescent="0.25">
      <c r="B78" s="348"/>
      <c r="C78" s="11" t="s">
        <v>183</v>
      </c>
      <c r="D78" s="350">
        <v>0.19</v>
      </c>
      <c r="E78" s="348"/>
      <c r="F78" s="348"/>
      <c r="G78" s="349">
        <f>+G76*D78</f>
        <v>0</v>
      </c>
    </row>
    <row r="79" spans="2:7" x14ac:dyDescent="0.25">
      <c r="B79" s="348"/>
      <c r="C79" s="11" t="s">
        <v>19</v>
      </c>
      <c r="D79" s="348"/>
      <c r="E79" s="348"/>
      <c r="F79" s="348"/>
      <c r="G79" s="353">
        <f>+G74+G75+G76+G77+G78</f>
        <v>0</v>
      </c>
    </row>
    <row r="80" spans="2:7" x14ac:dyDescent="0.25">
      <c r="B80" s="348"/>
      <c r="C80" s="11"/>
      <c r="D80" s="348"/>
      <c r="E80" s="348"/>
      <c r="F80" s="348"/>
      <c r="G80" s="353"/>
    </row>
    <row r="81" spans="2:8" hidden="1" x14ac:dyDescent="0.25">
      <c r="B81" s="348"/>
      <c r="C81" s="11" t="s">
        <v>426</v>
      </c>
      <c r="D81" s="348"/>
      <c r="E81" s="348"/>
      <c r="F81" s="332">
        <v>7.0000000000000007E-2</v>
      </c>
      <c r="G81" s="353">
        <f>+G79*F81</f>
        <v>0</v>
      </c>
    </row>
    <row r="82" spans="2:8" hidden="1" x14ac:dyDescent="0.25">
      <c r="B82" s="348"/>
      <c r="C82" s="11"/>
      <c r="D82" s="348"/>
      <c r="E82" s="348"/>
      <c r="F82" s="348"/>
      <c r="G82" s="353"/>
    </row>
    <row r="83" spans="2:8" hidden="1" x14ac:dyDescent="0.25">
      <c r="B83" s="348"/>
      <c r="C83" s="11" t="s">
        <v>4</v>
      </c>
      <c r="D83" s="348"/>
      <c r="E83" s="348"/>
      <c r="F83" s="348"/>
      <c r="G83" s="353">
        <f>+G81+G79</f>
        <v>0</v>
      </c>
    </row>
    <row r="84" spans="2:8" hidden="1" x14ac:dyDescent="0.25">
      <c r="B84" s="348"/>
      <c r="C84" s="11"/>
      <c r="D84" s="348"/>
      <c r="E84" s="348"/>
      <c r="F84" s="348"/>
      <c r="G84" s="353"/>
    </row>
    <row r="85" spans="2:8" x14ac:dyDescent="0.25">
      <c r="C85" s="11"/>
    </row>
    <row r="86" spans="2:8" x14ac:dyDescent="0.25">
      <c r="C86" s="11"/>
    </row>
    <row r="87" spans="2:8" x14ac:dyDescent="0.25">
      <c r="C87" s="11"/>
    </row>
    <row r="89" spans="2:8" x14ac:dyDescent="0.25">
      <c r="F89" s="354"/>
      <c r="G89" s="349"/>
    </row>
    <row r="90" spans="2:8" x14ac:dyDescent="0.25">
      <c r="E90" s="355"/>
    </row>
    <row r="91" spans="2:8" x14ac:dyDescent="0.25">
      <c r="F91" s="188"/>
    </row>
    <row r="93" spans="2:8" x14ac:dyDescent="0.25">
      <c r="E93" s="352"/>
      <c r="F93" s="351"/>
      <c r="G93" s="351"/>
      <c r="H93" s="352"/>
    </row>
    <row r="94" spans="2:8" x14ac:dyDescent="0.25">
      <c r="E94" s="352"/>
      <c r="F94" s="353"/>
      <c r="G94" s="356"/>
      <c r="H94" s="351"/>
    </row>
    <row r="95" spans="2:8" x14ac:dyDescent="0.25">
      <c r="E95" s="352"/>
      <c r="F95" s="353"/>
      <c r="G95" s="356"/>
      <c r="H95" s="351"/>
    </row>
    <row r="96" spans="2:8" x14ac:dyDescent="0.25">
      <c r="E96" s="352"/>
      <c r="F96" s="353"/>
      <c r="G96" s="356"/>
      <c r="H96" s="351"/>
    </row>
    <row r="97" spans="5:7" x14ac:dyDescent="0.25">
      <c r="E97" s="352"/>
    </row>
    <row r="98" spans="5:7" x14ac:dyDescent="0.25">
      <c r="E98" s="352"/>
    </row>
    <row r="99" spans="5:7" x14ac:dyDescent="0.25">
      <c r="E99" s="352"/>
    </row>
    <row r="100" spans="5:7" x14ac:dyDescent="0.25">
      <c r="E100" s="352"/>
    </row>
    <row r="102" spans="5:7" x14ac:dyDescent="0.25">
      <c r="F102" s="353"/>
      <c r="G102" s="356"/>
    </row>
  </sheetData>
  <mergeCells count="6">
    <mergeCell ref="B3:G3"/>
    <mergeCell ref="B5:G5"/>
    <mergeCell ref="F8:G8"/>
    <mergeCell ref="B9:G9"/>
    <mergeCell ref="B4:G4"/>
    <mergeCell ref="B7:G7"/>
  </mergeCells>
  <printOptions horizontalCentered="1"/>
  <pageMargins left="0.70866141732283472" right="0.70866141732283472" top="0.74803149606299213" bottom="0.74803149606299213" header="0.31496062992125984" footer="0.31496062992125984"/>
  <pageSetup scale="62" orientation="portrait" r:id="rId1"/>
  <rowBreaks count="1" manualBreakCount="1">
    <brk id="55" min="1"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116"/>
  <sheetViews>
    <sheetView view="pageBreakPreview" zoomScale="80" zoomScaleNormal="80" zoomScaleSheetLayoutView="80" workbookViewId="0">
      <selection activeCell="E82" sqref="E82"/>
    </sheetView>
  </sheetViews>
  <sheetFormatPr baseColWidth="10" defaultColWidth="11.5703125" defaultRowHeight="15" x14ac:dyDescent="0.25"/>
  <cols>
    <col min="1" max="1" width="5" style="165" customWidth="1"/>
    <col min="2" max="2" width="11.5703125" style="165"/>
    <col min="3" max="3" width="75.28515625" style="165" customWidth="1"/>
    <col min="4" max="4" width="11.5703125" style="165"/>
    <col min="5" max="5" width="13.85546875" style="165" bestFit="1" customWidth="1"/>
    <col min="6" max="6" width="15.85546875" style="165" customWidth="1"/>
    <col min="7" max="7" width="15.140625" style="165" bestFit="1" customWidth="1"/>
    <col min="8" max="8" width="1.140625" style="165" customWidth="1"/>
    <col min="9" max="9" width="15.5703125" style="165" bestFit="1" customWidth="1"/>
    <col min="10" max="11" width="11.5703125" style="165"/>
    <col min="12" max="12" width="12.7109375" style="165" bestFit="1" customWidth="1"/>
    <col min="13" max="14" width="11.5703125" style="165"/>
    <col min="15" max="15" width="12.5703125" style="165" bestFit="1" customWidth="1"/>
    <col min="16" max="16" width="14.85546875" style="165" bestFit="1" customWidth="1"/>
    <col min="17" max="16384" width="11.5703125" style="165"/>
  </cols>
  <sheetData>
    <row r="2" spans="2:9" x14ac:dyDescent="0.25">
      <c r="B2" s="396" t="s">
        <v>417</v>
      </c>
      <c r="C2" s="396"/>
      <c r="D2" s="396"/>
      <c r="E2" s="396"/>
      <c r="F2" s="396"/>
      <c r="G2" s="396"/>
    </row>
    <row r="3" spans="2:9" x14ac:dyDescent="0.25">
      <c r="B3" s="394" t="s">
        <v>422</v>
      </c>
      <c r="C3" s="394"/>
      <c r="D3" s="394"/>
      <c r="E3" s="394"/>
      <c r="F3" s="394"/>
      <c r="G3" s="394"/>
      <c r="H3" s="5"/>
    </row>
    <row r="4" spans="2:9" x14ac:dyDescent="0.25">
      <c r="F4" s="397"/>
      <c r="G4" s="397"/>
    </row>
    <row r="5" spans="2:9" x14ac:dyDescent="0.25">
      <c r="B5" s="395" t="s">
        <v>423</v>
      </c>
      <c r="C5" s="395"/>
      <c r="D5" s="395"/>
      <c r="E5" s="395"/>
      <c r="F5" s="395"/>
      <c r="G5" s="395"/>
    </row>
    <row r="6" spans="2:9" ht="30" x14ac:dyDescent="0.25">
      <c r="B6" s="194" t="s">
        <v>10</v>
      </c>
      <c r="C6" s="194" t="s">
        <v>5</v>
      </c>
      <c r="D6" s="194" t="s">
        <v>6</v>
      </c>
      <c r="E6" s="150" t="s">
        <v>7</v>
      </c>
      <c r="F6" s="150" t="s">
        <v>279</v>
      </c>
      <c r="G6" s="150" t="s">
        <v>280</v>
      </c>
    </row>
    <row r="7" spans="2:9" x14ac:dyDescent="0.25">
      <c r="B7" s="166"/>
      <c r="C7" s="166"/>
      <c r="D7" s="168"/>
      <c r="E7" s="168"/>
      <c r="F7" s="207"/>
      <c r="G7" s="206"/>
    </row>
    <row r="8" spans="2:9" x14ac:dyDescent="0.25">
      <c r="B8" s="295">
        <v>2</v>
      </c>
      <c r="C8" s="6" t="s">
        <v>421</v>
      </c>
      <c r="D8" s="168"/>
      <c r="E8" s="168"/>
      <c r="F8" s="206"/>
      <c r="G8" s="228" t="e">
        <f>+G9+G11+G12+G13+G10</f>
        <v>#REF!</v>
      </c>
      <c r="I8" s="293" t="e">
        <f t="shared" ref="I8:I13" si="0">+G8/$G$91</f>
        <v>#REF!</v>
      </c>
    </row>
    <row r="9" spans="2:9" s="251" customFormat="1" hidden="1" x14ac:dyDescent="0.25">
      <c r="B9" s="249">
        <v>2.2000000000000002</v>
      </c>
      <c r="C9" s="254" t="str">
        <f>+[20]SABANA_CENTRO!$C$692</f>
        <v>ENTIBADO TIPO 2 (1/7 UTILIZACIONES)</v>
      </c>
      <c r="D9" s="249" t="s">
        <v>84</v>
      </c>
      <c r="E9" s="265" t="e">
        <f>+#REF!</f>
        <v>#REF!</v>
      </c>
      <c r="F9" s="255">
        <f>+[21]SABANA_OCCIDENTE!$G$693</f>
        <v>25910</v>
      </c>
      <c r="G9" s="255" t="e">
        <f>+E9*F9</f>
        <v>#REF!</v>
      </c>
      <c r="I9" s="293" t="e">
        <f t="shared" si="0"/>
        <v>#REF!</v>
      </c>
    </row>
    <row r="10" spans="2:9" s="251" customFormat="1" ht="30" hidden="1" x14ac:dyDescent="0.25">
      <c r="B10" s="244">
        <f>+'[22]LISTA APU'!$F$1862</f>
        <v>6015</v>
      </c>
      <c r="C10" s="245" t="str">
        <f>+'[22]LISTA APU'!$G$1862</f>
        <v>ENTIBADO TIPO EC3 CONTINUO METÁLICO CON PARALES METÁLICOS. INCLUYE SUMINISTRO E INSTALACIÓN</v>
      </c>
      <c r="D10" s="258" t="str">
        <f>+D9</f>
        <v>m2</v>
      </c>
      <c r="E10" s="266">
        <v>0</v>
      </c>
      <c r="F10" s="235">
        <f>+'[22]LISTA APU'!$I$1862</f>
        <v>53684</v>
      </c>
      <c r="G10" s="235">
        <f t="shared" ref="G10" si="1">+F10*E10</f>
        <v>0</v>
      </c>
      <c r="I10" s="293" t="e">
        <f t="shared" si="0"/>
        <v>#REF!</v>
      </c>
    </row>
    <row r="11" spans="2:9" s="251" customFormat="1" x14ac:dyDescent="0.25">
      <c r="B11" s="300">
        <v>2.2999999999999998</v>
      </c>
      <c r="C11" s="254" t="str">
        <f>+[20]SABANA_CENTRO!$C$693</f>
        <v>RELLENO CON MATERIAL DE EXCAVACIÓN</v>
      </c>
      <c r="D11" s="249" t="s">
        <v>88</v>
      </c>
      <c r="E11" s="265" t="e">
        <f>+#REF!</f>
        <v>#REF!</v>
      </c>
      <c r="F11" s="255">
        <f>+[21]SABANA_OCCIDENTE!$G$694</f>
        <v>19990</v>
      </c>
      <c r="G11" s="255" t="e">
        <f>+E11*F11</f>
        <v>#REF!</v>
      </c>
      <c r="I11" s="293" t="e">
        <f t="shared" si="0"/>
        <v>#REF!</v>
      </c>
    </row>
    <row r="12" spans="2:9" s="251" customFormat="1" x14ac:dyDescent="0.25">
      <c r="B12" s="249">
        <v>2.5</v>
      </c>
      <c r="C12" s="254" t="str">
        <f>+[20]SABANA_CENTRO!$C$695</f>
        <v>RELLENO TIPO 2 "RECEBO"</v>
      </c>
      <c r="D12" s="249" t="s">
        <v>88</v>
      </c>
      <c r="E12" s="265" t="e">
        <f>+#REF!</f>
        <v>#REF!</v>
      </c>
      <c r="F12" s="255">
        <f>+[21]SABANA_OCCIDENTE!$G$696</f>
        <v>69160</v>
      </c>
      <c r="G12" s="255" t="e">
        <f>+E12*F12</f>
        <v>#REF!</v>
      </c>
      <c r="I12" s="293" t="e">
        <f t="shared" si="0"/>
        <v>#REF!</v>
      </c>
    </row>
    <row r="13" spans="2:9" s="251" customFormat="1" x14ac:dyDescent="0.25">
      <c r="B13" s="249">
        <v>2.9</v>
      </c>
      <c r="C13" s="254" t="str">
        <f>+[20]SABANA_CENTRO!$C$699</f>
        <v>RELLENO TIPO 7 "ARENA DE PEÑA"</v>
      </c>
      <c r="D13" s="249" t="s">
        <v>88</v>
      </c>
      <c r="E13" s="265" t="e">
        <f>+#REF!</f>
        <v>#REF!</v>
      </c>
      <c r="F13" s="255">
        <f>+[21]SABANA_CENTRO!$G$700</f>
        <v>54536</v>
      </c>
      <c r="G13" s="255" t="e">
        <f>+E13*F13</f>
        <v>#REF!</v>
      </c>
      <c r="I13" s="293" t="e">
        <f t="shared" si="0"/>
        <v>#REF!</v>
      </c>
    </row>
    <row r="14" spans="2:9" s="180" customFormat="1" x14ac:dyDescent="0.25">
      <c r="B14" s="141"/>
      <c r="C14" s="230"/>
      <c r="D14" s="141"/>
      <c r="E14" s="229"/>
      <c r="F14" s="207"/>
      <c r="G14" s="207"/>
      <c r="I14" s="293"/>
    </row>
    <row r="15" spans="2:9" x14ac:dyDescent="0.25">
      <c r="B15" s="295">
        <v>3</v>
      </c>
      <c r="C15" s="17" t="s">
        <v>420</v>
      </c>
      <c r="D15" s="168"/>
      <c r="E15" s="177"/>
      <c r="F15" s="206"/>
      <c r="G15" s="231" t="e">
        <f>+G24+G58+G59+G60+G61+G62+G63+G64+G65+G66+G67+G68+G69+G70+G71+G72+G73+G74+G76+G77+G75</f>
        <v>#REF!</v>
      </c>
      <c r="I15" s="293" t="e">
        <f t="shared" ref="I15:I35" si="2">+G15/$G$91</f>
        <v>#REF!</v>
      </c>
    </row>
    <row r="16" spans="2:9" s="251" customFormat="1" hidden="1" x14ac:dyDescent="0.25">
      <c r="B16" s="257">
        <f>+[20]SABANA_CENTRO!$A$87</f>
        <v>3.12</v>
      </c>
      <c r="C16" s="254" t="str">
        <f>+[20]SABANA_CENTRO!$C$87</f>
        <v>TUBERÍA DRENAJE PVC 160</v>
      </c>
      <c r="D16" s="249" t="str">
        <f>+D17</f>
        <v>m</v>
      </c>
      <c r="E16" s="265">
        <v>0</v>
      </c>
      <c r="F16" s="255">
        <f>+[23]SABANA_CENTRO!$M$87</f>
        <v>44164</v>
      </c>
      <c r="G16" s="250">
        <f>+F16*E16</f>
        <v>0</v>
      </c>
      <c r="I16" s="293" t="e">
        <f t="shared" si="2"/>
        <v>#REF!</v>
      </c>
    </row>
    <row r="17" spans="2:9" s="251" customFormat="1" hidden="1" x14ac:dyDescent="0.25">
      <c r="B17" s="247">
        <v>3.25</v>
      </c>
      <c r="C17" s="254" t="str">
        <f>+[20]SABANA_CENTRO!$C$726</f>
        <v>TUBERÍA PVC ALCANTARILLADO 8"</v>
      </c>
      <c r="D17" s="249" t="s">
        <v>33</v>
      </c>
      <c r="E17" s="265">
        <v>0</v>
      </c>
      <c r="F17" s="255">
        <f>+[23]SABANA_CENTRO!$M$727</f>
        <v>49346</v>
      </c>
      <c r="G17" s="250">
        <f t="shared" ref="G17:G34" si="3">+F17*E17</f>
        <v>0</v>
      </c>
      <c r="I17" s="293" t="e">
        <f t="shared" si="2"/>
        <v>#REF!</v>
      </c>
    </row>
    <row r="18" spans="2:9" s="259" customFormat="1" hidden="1" x14ac:dyDescent="0.25">
      <c r="B18" s="244"/>
      <c r="C18" s="260"/>
      <c r="D18" s="258"/>
      <c r="E18" s="266"/>
      <c r="F18" s="235"/>
      <c r="G18" s="235"/>
      <c r="I18" s="293" t="e">
        <f t="shared" si="2"/>
        <v>#REF!</v>
      </c>
    </row>
    <row r="19" spans="2:9" s="251" customFormat="1" hidden="1" x14ac:dyDescent="0.25">
      <c r="B19" s="247">
        <v>3.26</v>
      </c>
      <c r="C19" s="254" t="str">
        <f>+[20]SABANA_CENTRO!$C$727</f>
        <v>TUBERÍA PVC ALCANTARILLADO 10"</v>
      </c>
      <c r="D19" s="249" t="s">
        <v>33</v>
      </c>
      <c r="E19" s="265">
        <v>0</v>
      </c>
      <c r="F19" s="255">
        <f>+[23]SABANA_CENTRO!$M$728</f>
        <v>69746</v>
      </c>
      <c r="G19" s="250">
        <f t="shared" si="3"/>
        <v>0</v>
      </c>
      <c r="I19" s="293" t="e">
        <f t="shared" si="2"/>
        <v>#REF!</v>
      </c>
    </row>
    <row r="20" spans="2:9" s="259" customFormat="1" ht="30" hidden="1" x14ac:dyDescent="0.25">
      <c r="B20" s="234">
        <f>+'[24]LISTA APU'!$F$26</f>
        <v>3044</v>
      </c>
      <c r="C20" s="260" t="str">
        <f>+'[24]LISTA APU'!$G$26</f>
        <v>TUBERIA PVC U.M. EXT CORRUGADO/INT LISO U.M. NORMA NTC 3722-1 D=10" (Incluye Suministro e Instalación)</v>
      </c>
      <c r="D20" s="258" t="str">
        <f>+D22</f>
        <v>ML</v>
      </c>
      <c r="E20" s="266"/>
      <c r="F20" s="235">
        <f>+'[24]LISTA APU'!$I$26</f>
        <v>46386</v>
      </c>
      <c r="G20" s="235">
        <f t="shared" si="3"/>
        <v>0</v>
      </c>
      <c r="I20" s="293" t="e">
        <f t="shared" si="2"/>
        <v>#REF!</v>
      </c>
    </row>
    <row r="21" spans="2:9" s="251" customFormat="1" hidden="1" x14ac:dyDescent="0.25">
      <c r="B21" s="247">
        <v>3.27</v>
      </c>
      <c r="C21" s="254" t="str">
        <f>+[20]SABANA_CENTRO!$C$728</f>
        <v>TUBERÍA PVC ALCANTARILLADO 12"</v>
      </c>
      <c r="D21" s="249" t="s">
        <v>33</v>
      </c>
      <c r="E21" s="265">
        <v>0</v>
      </c>
      <c r="F21" s="255">
        <f>+[23]SABANA_CENTRO!$M$729</f>
        <v>100600</v>
      </c>
      <c r="G21" s="250">
        <f t="shared" si="3"/>
        <v>0</v>
      </c>
      <c r="I21" s="293" t="e">
        <f t="shared" si="2"/>
        <v>#REF!</v>
      </c>
    </row>
    <row r="22" spans="2:9" s="259" customFormat="1" ht="30" hidden="1" x14ac:dyDescent="0.25">
      <c r="B22" s="244">
        <f>+'[24]LISTA APU'!$F$27</f>
        <v>3045</v>
      </c>
      <c r="C22" s="260" t="str">
        <f>+'[24]LISTA APU'!$G$27</f>
        <v>TUBERIA PVC U.M. EXT CORRUGADO/INT LISO U.M. NORMA NTC 3722-1 D=12" (Incluye Suministro e Instalación)</v>
      </c>
      <c r="D22" s="258" t="str">
        <f>+D28</f>
        <v>ML</v>
      </c>
      <c r="E22" s="266"/>
      <c r="F22" s="235">
        <f>+'[24]LISTA APU'!$I$27</f>
        <v>77124</v>
      </c>
      <c r="G22" s="235">
        <f t="shared" si="3"/>
        <v>0</v>
      </c>
      <c r="I22" s="293" t="e">
        <f t="shared" si="2"/>
        <v>#REF!</v>
      </c>
    </row>
    <row r="23" spans="2:9" ht="30" hidden="1" x14ac:dyDescent="0.25">
      <c r="B23" s="239">
        <f>+'[24]LISTA APU'!$F$28</f>
        <v>3046</v>
      </c>
      <c r="C23" s="245" t="s">
        <v>382</v>
      </c>
      <c r="D23" s="241" t="str">
        <f>+D19</f>
        <v>m</v>
      </c>
      <c r="E23" s="266">
        <v>0</v>
      </c>
      <c r="F23" s="235">
        <f>+'[22]LISTA APU'!$I$2312</f>
        <v>124101</v>
      </c>
      <c r="G23" s="235">
        <f t="shared" si="3"/>
        <v>0</v>
      </c>
      <c r="I23" s="293" t="e">
        <f t="shared" si="2"/>
        <v>#REF!</v>
      </c>
    </row>
    <row r="24" spans="2:9" s="251" customFormat="1" x14ac:dyDescent="0.25">
      <c r="B24" s="244">
        <f>+'[25]LISTA APU'!$F$94</f>
        <v>3245</v>
      </c>
      <c r="C24" s="260" t="str">
        <f>+'[25]LISTA APU'!$G$94</f>
        <v>TUBERIA PVC D=12" TIPO U.M. RDE 32.5 (Suministro e Instalación)</v>
      </c>
      <c r="D24" s="240" t="s">
        <v>33</v>
      </c>
      <c r="E24" s="266" t="e">
        <f>+GETPIVOTDATA("Longitud",#REF!,"Diametro",12)</f>
        <v>#REF!</v>
      </c>
      <c r="F24" s="235">
        <f>+'[25]LISTA APU'!$I$94</f>
        <v>183340</v>
      </c>
      <c r="G24" s="235" t="e">
        <f t="shared" si="3"/>
        <v>#REF!</v>
      </c>
      <c r="I24" s="293" t="e">
        <f t="shared" si="2"/>
        <v>#REF!</v>
      </c>
    </row>
    <row r="25" spans="2:9" s="259" customFormat="1" ht="30" hidden="1" x14ac:dyDescent="0.25">
      <c r="B25" s="244">
        <f>+'[24]LISTA APU'!$F$28</f>
        <v>3046</v>
      </c>
      <c r="C25" s="260" t="str">
        <f>+'[24]LISTA APU'!$G$28</f>
        <v>TUBERIA PVC U.M. EXT CORRUGADO/INT LISO U.M. NORMA NTC 3722-1 D=16" (Incluye Suministro e Instalación)</v>
      </c>
      <c r="D25" s="258" t="str">
        <f>+D22</f>
        <v>ML</v>
      </c>
      <c r="E25" s="266">
        <v>0</v>
      </c>
      <c r="F25" s="235">
        <f>+'[22]LISTA APU'!$I$29</f>
        <v>176924</v>
      </c>
      <c r="G25" s="235">
        <f t="shared" si="3"/>
        <v>0</v>
      </c>
      <c r="I25" s="293" t="e">
        <f t="shared" si="2"/>
        <v>#REF!</v>
      </c>
    </row>
    <row r="26" spans="2:9" s="259" customFormat="1" ht="30" hidden="1" x14ac:dyDescent="0.25">
      <c r="B26" s="244">
        <f>+'[24]LISTA APU'!$F$29</f>
        <v>3047</v>
      </c>
      <c r="C26" s="245" t="str">
        <f>+'[24]LISTA APU'!$G$29</f>
        <v>TUBERIA PVC U.M. EXT CORRUGADO/INT LISO U.M. NORMA NTC 3722-1 D=18" (Incluye Suministro e Instalación)</v>
      </c>
      <c r="D26" s="258" t="str">
        <f>+D23</f>
        <v>m</v>
      </c>
      <c r="E26" s="266">
        <v>0</v>
      </c>
      <c r="F26" s="235">
        <f>+'[22]LISTA APU'!$I$30</f>
        <v>226631</v>
      </c>
      <c r="G26" s="235">
        <f t="shared" si="3"/>
        <v>0</v>
      </c>
      <c r="I26" s="293" t="e">
        <f t="shared" si="2"/>
        <v>#REF!</v>
      </c>
    </row>
    <row r="27" spans="2:9" s="251" customFormat="1" hidden="1" x14ac:dyDescent="0.25">
      <c r="B27" s="247">
        <v>3.29</v>
      </c>
      <c r="C27" s="248" t="str">
        <f>+[20]SABANA_CENTRO!$C$730</f>
        <v>TUBERÍA PVC ALCANTARILLADO REFORZADO 20"</v>
      </c>
      <c r="D27" s="249" t="s">
        <v>33</v>
      </c>
      <c r="E27" s="265">
        <v>0</v>
      </c>
      <c r="F27" s="255">
        <f>+[23]SABANA_CENTRO!$G$731</f>
        <v>248049</v>
      </c>
      <c r="G27" s="250">
        <f t="shared" si="3"/>
        <v>0</v>
      </c>
      <c r="I27" s="293" t="e">
        <f t="shared" si="2"/>
        <v>#REF!</v>
      </c>
    </row>
    <row r="28" spans="2:9" ht="30" hidden="1" x14ac:dyDescent="0.25">
      <c r="B28" s="244">
        <f>+'[24]LISTA APU'!$F$30</f>
        <v>3048</v>
      </c>
      <c r="C28" s="260" t="str">
        <f>+'[24]LISTA APU'!$G$30</f>
        <v>TUBERIA PVC U.M. EXT CORRUGADO/INT LISO U.M. NORMA NTC 3722-1 D=20" (Incluye Suministro e Instalación)</v>
      </c>
      <c r="D28" s="258" t="str">
        <f>+D30</f>
        <v>ML</v>
      </c>
      <c r="E28" s="266"/>
      <c r="F28" s="235">
        <f>+'[22]LISTA APU'!$I$31</f>
        <v>293271</v>
      </c>
      <c r="G28" s="235">
        <f t="shared" si="3"/>
        <v>0</v>
      </c>
      <c r="I28" s="293" t="e">
        <f t="shared" si="2"/>
        <v>#REF!</v>
      </c>
    </row>
    <row r="29" spans="2:9" s="251" customFormat="1" hidden="1" x14ac:dyDescent="0.25">
      <c r="B29" s="257">
        <v>3.3</v>
      </c>
      <c r="C29" s="248" t="str">
        <f>+[20]SABANA_CENTRO!$C$731</f>
        <v>TUBERÍA PVC ALCANTARILLADO REFORZADO 24"</v>
      </c>
      <c r="D29" s="249" t="s">
        <v>33</v>
      </c>
      <c r="E29" s="265">
        <v>0</v>
      </c>
      <c r="F29" s="255">
        <f>+[20]SABANA_CENTRO!$M$731</f>
        <v>347268</v>
      </c>
      <c r="G29" s="250">
        <f t="shared" si="3"/>
        <v>0</v>
      </c>
      <c r="I29" s="293" t="e">
        <f t="shared" si="2"/>
        <v>#REF!</v>
      </c>
    </row>
    <row r="30" spans="2:9" ht="30" hidden="1" x14ac:dyDescent="0.25">
      <c r="B30" s="244">
        <f>+'[24]LISTA APU'!$F$448</f>
        <v>3919</v>
      </c>
      <c r="C30" s="260" t="str">
        <f>+'[24]LISTA APU'!$G$448</f>
        <v>TUBERIA PVC  U.M. EXT/INT LISO NORMA NTC 5070 D=24" (Incluye Suministro e Instalación)</v>
      </c>
      <c r="D30" s="258" t="str">
        <f>+D32</f>
        <v>ML</v>
      </c>
      <c r="E30" s="266"/>
      <c r="F30" s="235">
        <f>+'[22]LISTA APU'!$I$447</f>
        <v>403688</v>
      </c>
      <c r="G30" s="235">
        <f t="shared" si="3"/>
        <v>0</v>
      </c>
      <c r="I30" s="293" t="e">
        <f t="shared" si="2"/>
        <v>#REF!</v>
      </c>
    </row>
    <row r="31" spans="2:9" s="251" customFormat="1" hidden="1" x14ac:dyDescent="0.25">
      <c r="B31" s="247">
        <v>3.31</v>
      </c>
      <c r="C31" s="248" t="str">
        <f>+[20]SABANA_CENTRO!$C$732</f>
        <v>TUBERÍA PVC ALCANTARILLADO REFORZADO 27"</v>
      </c>
      <c r="D31" s="249" t="s">
        <v>33</v>
      </c>
      <c r="E31" s="265">
        <v>0</v>
      </c>
      <c r="F31" s="255">
        <f>+[20]SABANA_CENTRO!$M$732</f>
        <v>439294</v>
      </c>
      <c r="G31" s="250">
        <f t="shared" si="3"/>
        <v>0</v>
      </c>
      <c r="I31" s="293" t="e">
        <f t="shared" si="2"/>
        <v>#REF!</v>
      </c>
    </row>
    <row r="32" spans="2:9" ht="30" hidden="1" x14ac:dyDescent="0.25">
      <c r="B32" s="244">
        <f>+'[24]LISTA APU'!$F$449</f>
        <v>3920</v>
      </c>
      <c r="C32" s="245" t="str">
        <f>+'[24]LISTA APU'!$G$449</f>
        <v>TUBERIA PVC  U.M. EXT/INT LISO NORMA NTC 5070 D=27" (Incluye Suministro e Instalación)</v>
      </c>
      <c r="D32" s="258" t="str">
        <f>+D33</f>
        <v>ML</v>
      </c>
      <c r="E32" s="266">
        <v>0</v>
      </c>
      <c r="F32" s="235">
        <f>+'[24]LISTA APU'!$I$449</f>
        <v>281392</v>
      </c>
      <c r="G32" s="235">
        <f t="shared" si="3"/>
        <v>0</v>
      </c>
      <c r="I32" s="293" t="e">
        <f t="shared" si="2"/>
        <v>#REF!</v>
      </c>
    </row>
    <row r="33" spans="2:11" ht="30" hidden="1" x14ac:dyDescent="0.25">
      <c r="B33" s="244">
        <f>+'[24]LISTA APU'!$F$450</f>
        <v>3921</v>
      </c>
      <c r="C33" s="245" t="str">
        <f>+'[24]LISTA APU'!$G$450</f>
        <v>TUBERIA PVC  U.M. EXT/INT LISO NORMA NTC 5070 D=30" (Incluye Suministro e Instalación)</v>
      </c>
      <c r="D33" s="258" t="str">
        <f>+D35</f>
        <v>ML</v>
      </c>
      <c r="E33" s="266" t="e">
        <f>+#REF!</f>
        <v>#REF!</v>
      </c>
      <c r="F33" s="235">
        <f>+'[24]LISTA APU'!$I$450</f>
        <v>344772</v>
      </c>
      <c r="G33" s="235" t="e">
        <f t="shared" si="3"/>
        <v>#REF!</v>
      </c>
      <c r="I33" s="293" t="e">
        <f t="shared" si="2"/>
        <v>#REF!</v>
      </c>
    </row>
    <row r="34" spans="2:11" s="251" customFormat="1" hidden="1" x14ac:dyDescent="0.25">
      <c r="B34" s="247">
        <v>3.32</v>
      </c>
      <c r="C34" s="248" t="str">
        <f>+[20]SABANA_CENTRO!$C$733</f>
        <v>TUBERÍA PVC ALCANTARILLADO REFORZADO 33"</v>
      </c>
      <c r="D34" s="249" t="s">
        <v>33</v>
      </c>
      <c r="E34" s="265" t="e">
        <f>+#REF!</f>
        <v>#REF!</v>
      </c>
      <c r="F34" s="255">
        <f>+[20]SABANA_CENTRO!$M$733</f>
        <v>577533</v>
      </c>
      <c r="G34" s="250" t="e">
        <f t="shared" si="3"/>
        <v>#REF!</v>
      </c>
      <c r="I34" s="293" t="e">
        <f t="shared" si="2"/>
        <v>#REF!</v>
      </c>
    </row>
    <row r="35" spans="2:11" ht="30" hidden="1" x14ac:dyDescent="0.25">
      <c r="B35" s="244">
        <f>+'[24]LISTA APU'!$F$451</f>
        <v>3922</v>
      </c>
      <c r="C35" s="245" t="str">
        <f>+'[24]LISTA APU'!$G$451</f>
        <v>TUBERIA PVC  U.M. EXT/INT LISO NORMA NTC 5070 D=33" (Incluye Suministro e Instalación)</v>
      </c>
      <c r="D35" s="258" t="str">
        <f>+'[24]LISTA APU'!$H$451</f>
        <v>ML</v>
      </c>
      <c r="E35" s="258" t="e">
        <f>+E34</f>
        <v>#REF!</v>
      </c>
      <c r="F35" s="235">
        <f>+'[24]LISTA APU'!$I$451</f>
        <v>356023</v>
      </c>
      <c r="G35" s="235" t="e">
        <f>+F35*E35</f>
        <v>#REF!</v>
      </c>
      <c r="I35" s="293" t="e">
        <f t="shared" si="2"/>
        <v>#REF!</v>
      </c>
    </row>
    <row r="36" spans="2:11" hidden="1" x14ac:dyDescent="0.25">
      <c r="B36" s="16"/>
      <c r="C36" s="301"/>
      <c r="D36" s="168"/>
      <c r="E36" s="177"/>
      <c r="F36" s="206"/>
      <c r="G36" s="206"/>
      <c r="I36" s="293"/>
    </row>
    <row r="37" spans="2:11" hidden="1" x14ac:dyDescent="0.25">
      <c r="B37" s="194">
        <v>4</v>
      </c>
      <c r="C37" s="302" t="str">
        <f>+[20]SABANA_CENTRO!$C$736</f>
        <v>ALCANTARILLADO - SUMIDEROS Y POZOS</v>
      </c>
      <c r="D37" s="168"/>
      <c r="E37" s="168"/>
      <c r="F37" s="206"/>
      <c r="G37" s="231" t="e">
        <f>+G38+G39+G40+G41+G42+G43+G57</f>
        <v>#REF!</v>
      </c>
      <c r="I37" s="293" t="e">
        <f t="shared" ref="I37:I63" si="4">+G37/$G$91</f>
        <v>#REF!</v>
      </c>
    </row>
    <row r="38" spans="2:11" s="251" customFormat="1" hidden="1" x14ac:dyDescent="0.25">
      <c r="B38" s="247">
        <v>4.0999999999999996</v>
      </c>
      <c r="C38" s="248" t="str">
        <f>+[20]SABANA_CENTRO!$C$737</f>
        <v>PLACA DE FONDO POZO D=1.7M, E=0.25M (CONCRETO 3000 PSI CON REFUERZO)</v>
      </c>
      <c r="D38" s="249" t="str">
        <f>+[20]SABANA_CENTRO!D737</f>
        <v>UN</v>
      </c>
      <c r="E38" s="253">
        <v>0</v>
      </c>
      <c r="F38" s="250">
        <f>+[21]SABANA_OCCIDENTE!$G$738</f>
        <v>714374</v>
      </c>
      <c r="G38" s="250">
        <f t="shared" ref="G38:G52" si="5">+F38*E38</f>
        <v>0</v>
      </c>
      <c r="I38" s="293" t="e">
        <f t="shared" si="4"/>
        <v>#REF!</v>
      </c>
    </row>
    <row r="39" spans="2:11" s="251" customFormat="1" ht="30" hidden="1" x14ac:dyDescent="0.25">
      <c r="B39" s="252">
        <v>4.2</v>
      </c>
      <c r="C39" s="248" t="str">
        <f>+[20]SABANA_CENTRO!$C$738</f>
        <v>CILINDRO POZO EN LADRILLO TOLETE, Di=1.20M, E=0.25M  (INC. PAÑETE INTERNO E=1.5CM Y CAÑUELA)</v>
      </c>
      <c r="D39" s="249" t="str">
        <f>+[20]SABANA_CENTRO!D738</f>
        <v>ML</v>
      </c>
      <c r="E39" s="253">
        <v>0</v>
      </c>
      <c r="F39" s="250">
        <f>+[21]SABANA_OCCIDENTE!$G$739</f>
        <v>684417</v>
      </c>
      <c r="G39" s="250">
        <f t="shared" si="5"/>
        <v>0</v>
      </c>
      <c r="I39" s="293" t="e">
        <f t="shared" si="4"/>
        <v>#REF!</v>
      </c>
    </row>
    <row r="40" spans="2:11" s="251" customFormat="1" ht="30" hidden="1" x14ac:dyDescent="0.25">
      <c r="B40" s="252">
        <v>4.3</v>
      </c>
      <c r="C40" s="248" t="str">
        <f>+[20]SABANA_CENTRO!$C$739</f>
        <v>CUBIERTA POZO D= 1.7M, E=0.20M C0NCRETO 3000 PSI CON REFUERZO (INCLUYE ARO Y TAPA HF)</v>
      </c>
      <c r="D40" s="249" t="str">
        <f>+[20]SABANA_CENTRO!D739</f>
        <v>UN</v>
      </c>
      <c r="E40" s="253">
        <v>0</v>
      </c>
      <c r="F40" s="250">
        <f>+[21]SABANA_OCCIDENTE!$G$740</f>
        <v>749883</v>
      </c>
      <c r="G40" s="250">
        <f t="shared" si="5"/>
        <v>0</v>
      </c>
      <c r="I40" s="293" t="e">
        <f t="shared" si="4"/>
        <v>#REF!</v>
      </c>
    </row>
    <row r="41" spans="2:11" s="251" customFormat="1" hidden="1" x14ac:dyDescent="0.25">
      <c r="B41" s="252">
        <v>4.4000000000000004</v>
      </c>
      <c r="C41" s="248" t="str">
        <f>+[20]SABANA_CENTRO!$C$740</f>
        <v>PLACA DE FONDO POZO D=1.96M, E=0.25M (CONCRETO 3000 PSI CON REFUERZO)</v>
      </c>
      <c r="D41" s="249" t="str">
        <f>+[20]SABANA_CENTRO!D740</f>
        <v>UN</v>
      </c>
      <c r="E41" s="253" t="e">
        <f>+#REF!</f>
        <v>#REF!</v>
      </c>
      <c r="F41" s="250">
        <f>+[20]SABANA_CENTRO!M740</f>
        <v>735057</v>
      </c>
      <c r="G41" s="250" t="e">
        <f t="shared" si="5"/>
        <v>#REF!</v>
      </c>
      <c r="I41" s="293" t="e">
        <f t="shared" si="4"/>
        <v>#REF!</v>
      </c>
    </row>
    <row r="42" spans="2:11" s="251" customFormat="1" ht="30" hidden="1" x14ac:dyDescent="0.25">
      <c r="B42" s="252">
        <v>4.5</v>
      </c>
      <c r="C42" s="248" t="str">
        <f>+[20]SABANA_CENTRO!$C$741</f>
        <v>CILINDRO POZO EN LADRILLO TOLETE, Di=1.20M, E=0.38M  (INC. PAÑETE INTERNO E=1.5CM Y CAÑUELA)</v>
      </c>
      <c r="D42" s="249" t="str">
        <f>+[20]SABANA_CENTRO!D741</f>
        <v>ML</v>
      </c>
      <c r="E42" s="253" t="e">
        <f>+#REF!</f>
        <v>#REF!</v>
      </c>
      <c r="F42" s="250">
        <f>+[20]SABANA_CENTRO!M741</f>
        <v>843666</v>
      </c>
      <c r="G42" s="250" t="e">
        <f t="shared" si="5"/>
        <v>#REF!</v>
      </c>
      <c r="I42" s="293" t="e">
        <f t="shared" si="4"/>
        <v>#REF!</v>
      </c>
    </row>
    <row r="43" spans="2:11" s="251" customFormat="1" ht="30" hidden="1" x14ac:dyDescent="0.25">
      <c r="B43" s="252">
        <v>4.5999999999999996</v>
      </c>
      <c r="C43" s="248" t="str">
        <f>+[20]SABANA_CENTRO!$C$742</f>
        <v>CUBIERTA POZO D= 1.96M, E=0.20M C0NCRETO 3000 PSI CON REFUERZO (INCLUYE ARO Y TAPA HF)</v>
      </c>
      <c r="D43" s="249" t="str">
        <f>+[20]SABANA_CENTRO!D742</f>
        <v>UN</v>
      </c>
      <c r="E43" s="253" t="e">
        <f>+E41</f>
        <v>#REF!</v>
      </c>
      <c r="F43" s="250">
        <f>+[20]SABANA_CENTRO!M742</f>
        <v>766684</v>
      </c>
      <c r="G43" s="250" t="e">
        <f t="shared" si="5"/>
        <v>#REF!</v>
      </c>
      <c r="I43" s="293" t="e">
        <f t="shared" si="4"/>
        <v>#REF!</v>
      </c>
    </row>
    <row r="44" spans="2:11" hidden="1" x14ac:dyDescent="0.25">
      <c r="B44" s="32">
        <v>4.7</v>
      </c>
      <c r="C44" s="243" t="str">
        <f>+[20]SABANA_CENTRO!$C$743</f>
        <v>SUMIDERO EN LADRILLO SL-100</v>
      </c>
      <c r="D44" s="168" t="str">
        <f>+[20]SABANA_CENTRO!D743</f>
        <v>UN</v>
      </c>
      <c r="E44" s="232"/>
      <c r="F44" s="208">
        <f>+[20]SABANA_CENTRO!M743</f>
        <v>929532</v>
      </c>
      <c r="G44" s="209">
        <f t="shared" si="5"/>
        <v>0</v>
      </c>
      <c r="I44" s="293" t="e">
        <f t="shared" si="4"/>
        <v>#REF!</v>
      </c>
    </row>
    <row r="45" spans="2:11" hidden="1" x14ac:dyDescent="0.25">
      <c r="B45" s="32">
        <v>4.8</v>
      </c>
      <c r="C45" s="243" t="str">
        <f>+[20]SABANA_CENTRO!$C$744</f>
        <v>SUMIDERO EN LADRILLO SL-250</v>
      </c>
      <c r="D45" s="168" t="str">
        <f>+[20]SABANA_CENTRO!D744</f>
        <v>UN</v>
      </c>
      <c r="E45" s="232"/>
      <c r="F45" s="208">
        <f>+[20]SABANA_CENTRO!M744</f>
        <v>1337008</v>
      </c>
      <c r="G45" s="209">
        <f t="shared" si="5"/>
        <v>0</v>
      </c>
      <c r="I45" s="293" t="e">
        <f t="shared" si="4"/>
        <v>#REF!</v>
      </c>
    </row>
    <row r="46" spans="2:11" hidden="1" x14ac:dyDescent="0.25">
      <c r="B46" s="32">
        <v>4.9000000000000004</v>
      </c>
      <c r="C46" s="243" t="str">
        <f>+[20]SABANA_CENTRO!$C$745</f>
        <v>SUMIDERO FUNDIDO EN SITIO REFORZADO SL-100</v>
      </c>
      <c r="D46" s="168" t="str">
        <f>+[20]SABANA_CENTRO!D745</f>
        <v>UN</v>
      </c>
      <c r="E46" s="183"/>
      <c r="F46" s="208">
        <f>+[20]SABANA_CENTRO!M745</f>
        <v>1830194</v>
      </c>
      <c r="G46" s="209">
        <f>+F46*E46</f>
        <v>0</v>
      </c>
      <c r="I46" s="293" t="e">
        <f t="shared" si="4"/>
        <v>#REF!</v>
      </c>
      <c r="J46" s="180"/>
      <c r="K46" s="180"/>
    </row>
    <row r="47" spans="2:11" hidden="1" x14ac:dyDescent="0.25">
      <c r="B47" s="32"/>
      <c r="C47" s="303"/>
      <c r="D47" s="233"/>
      <c r="E47" s="183"/>
      <c r="F47" s="235"/>
      <c r="G47" s="209"/>
      <c r="I47" s="293" t="e">
        <f t="shared" si="4"/>
        <v>#REF!</v>
      </c>
      <c r="J47" s="236"/>
      <c r="K47" s="236"/>
    </row>
    <row r="48" spans="2:11" hidden="1" x14ac:dyDescent="0.25">
      <c r="B48" s="32"/>
      <c r="C48" s="303"/>
      <c r="D48" s="233"/>
      <c r="E48" s="183"/>
      <c r="F48" s="235"/>
      <c r="G48" s="209"/>
      <c r="I48" s="293" t="e">
        <f t="shared" si="4"/>
        <v>#REF!</v>
      </c>
      <c r="J48" s="236"/>
      <c r="K48" s="236"/>
    </row>
    <row r="49" spans="2:11" hidden="1" x14ac:dyDescent="0.25">
      <c r="B49" s="242">
        <v>4.0999999999999996</v>
      </c>
      <c r="C49" s="243" t="str">
        <f>+[20]SABANA_CENTRO!$C$746</f>
        <v>SUMIDERO FUNDIDO EN SITIO SL-250</v>
      </c>
      <c r="D49" s="168" t="str">
        <f>+[20]SABANA_CENTRO!D746</f>
        <v>UN</v>
      </c>
      <c r="E49" s="183"/>
      <c r="F49" s="209">
        <f>+[20]SABANA_CENTRO!$M$746</f>
        <v>2422562</v>
      </c>
      <c r="G49" s="209">
        <f>+F49*E49</f>
        <v>0</v>
      </c>
      <c r="I49" s="293" t="e">
        <f t="shared" si="4"/>
        <v>#REF!</v>
      </c>
      <c r="J49" s="238" t="e">
        <f>+#REF!-#REF!</f>
        <v>#REF!</v>
      </c>
      <c r="K49" s="297">
        <v>1.5</v>
      </c>
    </row>
    <row r="50" spans="2:11" hidden="1" x14ac:dyDescent="0.25">
      <c r="B50" s="242">
        <v>4.1100000000000003</v>
      </c>
      <c r="C50" s="243" t="str">
        <f>+[20]SABANA_CENTRO!$C$747</f>
        <v>SUMIDERO PREFABRICADO SL-100</v>
      </c>
      <c r="D50" s="168" t="str">
        <f>+[20]SABANA_CENTRO!D747</f>
        <v>UN</v>
      </c>
      <c r="E50" s="232"/>
      <c r="F50" s="208">
        <f>+[20]SABANA_CENTRO!$M$747</f>
        <v>1737520</v>
      </c>
      <c r="G50" s="209">
        <f t="shared" si="5"/>
        <v>0</v>
      </c>
      <c r="I50" s="293" t="e">
        <f t="shared" si="4"/>
        <v>#REF!</v>
      </c>
      <c r="J50" s="238" t="e">
        <f>+K50*J49/K49</f>
        <v>#REF!</v>
      </c>
      <c r="K50" s="297">
        <v>0.5</v>
      </c>
    </row>
    <row r="51" spans="2:11" hidden="1" x14ac:dyDescent="0.25">
      <c r="B51" s="242">
        <v>4.12</v>
      </c>
      <c r="C51" s="243" t="str">
        <f>+[20]SABANA_CENTRO!$C$748</f>
        <v>SUMIDERO PREFABRICADO SL-250</v>
      </c>
      <c r="D51" s="168" t="str">
        <f>+[20]SABANA_CENTRO!D748</f>
        <v>UN</v>
      </c>
      <c r="E51" s="232"/>
      <c r="F51" s="208">
        <f>+[20]SABANA_CENTRO!$M$747</f>
        <v>1737520</v>
      </c>
      <c r="G51" s="209">
        <f t="shared" si="5"/>
        <v>0</v>
      </c>
      <c r="I51" s="293" t="e">
        <f t="shared" si="4"/>
        <v>#REF!</v>
      </c>
      <c r="J51" s="238" t="e">
        <f>+K51*J49/K49</f>
        <v>#REF!</v>
      </c>
      <c r="K51" s="297">
        <v>1</v>
      </c>
    </row>
    <row r="52" spans="2:11" ht="30" hidden="1" x14ac:dyDescent="0.25">
      <c r="B52" s="32">
        <v>4.13</v>
      </c>
      <c r="C52" s="243" t="str">
        <f>+[20]SABANA_CENTRO!$C$749</f>
        <v>NIVELACIÓN DE POZOS DE INSPECCIÓN Di=1.20M, E=0.25M, H=0,21M(INCLUYE PAÑETE INTERNO Y DEMOLICIÓN)</v>
      </c>
      <c r="D52" s="168" t="str">
        <f>+[20]SABANA_CENTRO!D749</f>
        <v>UN</v>
      </c>
      <c r="E52" s="232"/>
      <c r="F52" s="208">
        <f>+[20]SABANA_CENTRO!$M$747</f>
        <v>1737520</v>
      </c>
      <c r="G52" s="209">
        <f t="shared" si="5"/>
        <v>0</v>
      </c>
      <c r="I52" s="293" t="e">
        <f t="shared" si="4"/>
        <v>#REF!</v>
      </c>
    </row>
    <row r="53" spans="2:11" s="246" customFormat="1" ht="30" hidden="1" x14ac:dyDescent="0.25">
      <c r="B53" s="244">
        <f>+'[24]LISTA APU'!$F$47</f>
        <v>3151</v>
      </c>
      <c r="C53" s="245" t="str">
        <f>+'[24]LISTA APU'!$G$47</f>
        <v>SUMIDERO LATERAL SL-100, H=1.25m (Fundido en Sitio, Concreto Premezclado. Incl. Sumin, Form, Ref. y Constr. Incl. Tapa)</v>
      </c>
      <c r="D53" s="240" t="str">
        <f>+'[24]LISTA INSUMOS'!$H$464</f>
        <v>UN</v>
      </c>
      <c r="E53" s="263">
        <v>0</v>
      </c>
      <c r="F53" s="235">
        <f>+'[24]LISTA APU'!$I$47</f>
        <v>1466357</v>
      </c>
      <c r="G53" s="235">
        <f>+F53*E53</f>
        <v>0</v>
      </c>
      <c r="I53" s="293" t="e">
        <f t="shared" si="4"/>
        <v>#REF!</v>
      </c>
    </row>
    <row r="54" spans="2:11" s="246" customFormat="1" ht="30" hidden="1" x14ac:dyDescent="0.25">
      <c r="B54" s="244">
        <f>+'[24]LISTA APU'!$F$433</f>
        <v>3896</v>
      </c>
      <c r="C54" s="245" t="str">
        <f>+'[24]LISTA APU'!$G$433</f>
        <v>SUMIDERO LATERAL SL-150, H=1.25m (Fundido en Sitio, Concreto Premezclado. Incl. Sumin, Form, Ref. y Constr. Incl. Tapa)</v>
      </c>
      <c r="D54" s="240" t="str">
        <f>+D53</f>
        <v>UN</v>
      </c>
      <c r="E54" s="263">
        <v>0</v>
      </c>
      <c r="F54" s="235">
        <f>+'[24]LISTA APU'!$I$433</f>
        <v>1853066</v>
      </c>
      <c r="G54" s="235">
        <f t="shared" ref="G54:G56" si="6">+F54*E54</f>
        <v>0</v>
      </c>
      <c r="I54" s="293" t="e">
        <f t="shared" si="4"/>
        <v>#REF!</v>
      </c>
    </row>
    <row r="55" spans="2:11" s="246" customFormat="1" ht="30" hidden="1" x14ac:dyDescent="0.25">
      <c r="B55" s="244">
        <f>+'[24]LISTA APU'!$F$422</f>
        <v>3885</v>
      </c>
      <c r="C55" s="245" t="str">
        <f>+'[24]LISTA APU'!$G$422</f>
        <v>SUMIDERO LATERAL SL-200, H=1.25m (Fundido en Sitio, Concreto Premezclado. Incl. Sumin, Form, Ref. y Constr. Incl. Tapa)</v>
      </c>
      <c r="D55" s="240" t="str">
        <f>+D54</f>
        <v>UN</v>
      </c>
      <c r="E55" s="263">
        <v>0</v>
      </c>
      <c r="F55" s="235">
        <f>+'[24]LISTA APU'!$I$422</f>
        <v>2288949</v>
      </c>
      <c r="G55" s="235">
        <f t="shared" si="6"/>
        <v>0</v>
      </c>
      <c r="I55" s="293" t="e">
        <f t="shared" si="4"/>
        <v>#REF!</v>
      </c>
    </row>
    <row r="56" spans="2:11" s="246" customFormat="1" ht="30" hidden="1" x14ac:dyDescent="0.25">
      <c r="B56" s="244">
        <f>+'[24]LISTA APU'!$F$425</f>
        <v>3888</v>
      </c>
      <c r="C56" s="245" t="str">
        <f>+'[24]LISTA APU'!$G$425</f>
        <v>SUMIDERO LATERAL SL-250, H=1.25m (Fundido en Sitio, Concreto Premezclado. Incl. Sumin, Form, Ref. y Constr. Incl. Tapa)</v>
      </c>
      <c r="D56" s="240" t="str">
        <f>+D55</f>
        <v>UN</v>
      </c>
      <c r="E56" s="263">
        <v>0</v>
      </c>
      <c r="F56" s="235">
        <f>+'[24]LISTA APU'!$I$425</f>
        <v>2515146</v>
      </c>
      <c r="G56" s="235">
        <f t="shared" si="6"/>
        <v>0</v>
      </c>
      <c r="I56" s="293" t="e">
        <f t="shared" si="4"/>
        <v>#REF!</v>
      </c>
    </row>
    <row r="57" spans="2:11" s="246" customFormat="1" ht="30" hidden="1" x14ac:dyDescent="0.25">
      <c r="B57" s="244">
        <f>+'[24]LISTA APU'!$F$389</f>
        <v>3779</v>
      </c>
      <c r="C57" s="260" t="str">
        <f>+'[24]LISTA APU'!$G$389</f>
        <v>CAJA DE INSPECCIÓN DE 0.6x0.6m (H=0.6m. Incluye Suministro y Construcción. Incluye Marco y Tapa. No Inc. Base y Cañuela)</v>
      </c>
      <c r="D57" s="241" t="str">
        <f>+'[24]LISTA APU'!$H$389</f>
        <v>UN</v>
      </c>
      <c r="E57" s="263">
        <v>0</v>
      </c>
      <c r="F57" s="235">
        <f>+'[22]LISTA APU'!$I$389</f>
        <v>283391</v>
      </c>
      <c r="G57" s="235">
        <f t="shared" ref="G57:G77" si="7">+F57*E57</f>
        <v>0</v>
      </c>
      <c r="I57" s="293" t="e">
        <f t="shared" si="4"/>
        <v>#REF!</v>
      </c>
    </row>
    <row r="58" spans="2:11" ht="30" x14ac:dyDescent="0.25">
      <c r="B58" s="244">
        <f>+'[25]LISTA APU'!$F$333</f>
        <v>3611</v>
      </c>
      <c r="C58" s="260" t="str">
        <f>+'[25]LISTA APU'!$G$333</f>
        <v>CONCRETO 2500 PSI PARA ANCLAJE TUBERIA (Premezclado. Incluye Suministro, Formaleteo y Colocación)</v>
      </c>
      <c r="D58" s="233" t="str">
        <f>+D13</f>
        <v>m3</v>
      </c>
      <c r="E58" s="266">
        <f>+[26]Hoja1!$G$54</f>
        <v>49.777999999999999</v>
      </c>
      <c r="F58" s="235">
        <f>+'[25]LISTA APU'!$I$333</f>
        <v>399262</v>
      </c>
      <c r="G58" s="235">
        <f t="shared" si="7"/>
        <v>19874463.835999999</v>
      </c>
      <c r="I58" s="293" t="e">
        <f t="shared" si="4"/>
        <v>#REF!</v>
      </c>
    </row>
    <row r="59" spans="2:11" x14ac:dyDescent="0.25">
      <c r="B59" s="244">
        <f>+'[25]LISTA APU'!$F$366</f>
        <v>3708</v>
      </c>
      <c r="C59" s="260" t="str">
        <f>+'[25]LISTA APU'!$G$366</f>
        <v>ACERO DE REFUERZO (Incluye Suministro, Figurado y Fijación)</v>
      </c>
      <c r="D59" s="233" t="s">
        <v>214</v>
      </c>
      <c r="E59" s="266">
        <f>+[26]Hoja1!$J$54</f>
        <v>2704.98</v>
      </c>
      <c r="F59" s="235">
        <f>+'[25]LISTA APU'!$I$366</f>
        <v>2990</v>
      </c>
      <c r="G59" s="235">
        <f t="shared" si="7"/>
        <v>8087890.2000000002</v>
      </c>
      <c r="I59" s="293" t="e">
        <f t="shared" si="4"/>
        <v>#REF!</v>
      </c>
    </row>
    <row r="60" spans="2:11" x14ac:dyDescent="0.25">
      <c r="B60" s="244">
        <f>+'[25]LISTA APU'!$F$143</f>
        <v>3297</v>
      </c>
      <c r="C60" s="260" t="str">
        <f>+'[25]LISTA APU'!$G$143</f>
        <v>CODO HD 90° EXTREMO LISO PARA PVC D=12" (Suministro e Instalación)</v>
      </c>
      <c r="D60" s="233" t="s">
        <v>425</v>
      </c>
      <c r="E60" s="266">
        <f>+[26]Hoja1!$N$7</f>
        <v>3</v>
      </c>
      <c r="F60" s="235">
        <f>+'[25]LISTA APU'!$I$143</f>
        <v>1660949</v>
      </c>
      <c r="G60" s="235">
        <f t="shared" si="7"/>
        <v>4982847</v>
      </c>
      <c r="I60" s="293" t="e">
        <f t="shared" si="4"/>
        <v>#REF!</v>
      </c>
    </row>
    <row r="61" spans="2:11" x14ac:dyDescent="0.25">
      <c r="B61" s="244">
        <f>+'[25]LISTA APU'!$F$154</f>
        <v>3309</v>
      </c>
      <c r="C61" s="260" t="str">
        <f>+'[25]LISTA APU'!$G$154</f>
        <v>CODO HD 45° EXTREMO LISO PARA PVC D=12" (Suministro e Instalación)</v>
      </c>
      <c r="D61" s="233" t="str">
        <f>+D63</f>
        <v>Und</v>
      </c>
      <c r="E61" s="266">
        <f>+[26]Hoja1!$N$8</f>
        <v>6</v>
      </c>
      <c r="F61" s="235">
        <f>+'[25]LISTA APU'!$I$154</f>
        <v>1295214</v>
      </c>
      <c r="G61" s="235">
        <f t="shared" si="7"/>
        <v>7771284</v>
      </c>
      <c r="I61" s="293" t="e">
        <f t="shared" si="4"/>
        <v>#REF!</v>
      </c>
    </row>
    <row r="62" spans="2:11" x14ac:dyDescent="0.25">
      <c r="B62" s="234">
        <f>+'[25]LISTA APU'!$F$160</f>
        <v>3316</v>
      </c>
      <c r="C62" s="290" t="str">
        <f>+'[25]LISTA APU'!$G$160</f>
        <v>CODO HD 22.5° EXTREMO LISO PARA PVC D=12" (Suministro e Instalación)</v>
      </c>
      <c r="D62" s="233" t="str">
        <f>+D60</f>
        <v>Und</v>
      </c>
      <c r="E62" s="266">
        <f>+[26]Hoja1!$N$9</f>
        <v>3</v>
      </c>
      <c r="F62" s="235">
        <f>+'[25]LISTA APU'!$I$160</f>
        <v>1381608</v>
      </c>
      <c r="G62" s="235">
        <f t="shared" si="7"/>
        <v>4144824</v>
      </c>
      <c r="I62" s="293" t="e">
        <f t="shared" si="4"/>
        <v>#REF!</v>
      </c>
    </row>
    <row r="63" spans="2:11" x14ac:dyDescent="0.25">
      <c r="B63" s="244">
        <f>+'[25]LISTA APU'!$F$162</f>
        <v>3318</v>
      </c>
      <c r="C63" s="290" t="str">
        <f>+'[25]LISTA APU'!$G$162</f>
        <v>CODO HD 11.25° EXTREMO LISO PARA PVC D=12" (Suministro e Instalación)</v>
      </c>
      <c r="D63" s="233" t="str">
        <f t="shared" ref="D63:D75" si="8">+D62</f>
        <v>Und</v>
      </c>
      <c r="E63" s="266">
        <f>+[26]Hoja1!$N$10</f>
        <v>6</v>
      </c>
      <c r="F63" s="235">
        <f>+'[25]LISTA APU'!$I$162</f>
        <v>1207380</v>
      </c>
      <c r="G63" s="235">
        <f t="shared" si="7"/>
        <v>7244280</v>
      </c>
      <c r="I63" s="293" t="e">
        <f t="shared" si="4"/>
        <v>#REF!</v>
      </c>
    </row>
    <row r="64" spans="2:11" x14ac:dyDescent="0.25">
      <c r="B64" s="244">
        <f>+'[25]LISTA APU'!$F$2426</f>
        <v>6683</v>
      </c>
      <c r="C64" s="260" t="str">
        <f>+'[25]LISTA APU'!$G$2426</f>
        <v>TEE HD EXTREMO JUNTA HIDRÁULICA 12" x 4" (Suministro e Instalación)</v>
      </c>
      <c r="D64" s="240" t="str">
        <f t="shared" si="8"/>
        <v>Und</v>
      </c>
      <c r="E64" s="266">
        <f>+[26]Hoja1!$E$14+2</f>
        <v>3</v>
      </c>
      <c r="F64" s="235">
        <f>+'[25]LISTA APU'!$I$2426</f>
        <v>1477943</v>
      </c>
      <c r="G64" s="235">
        <f t="shared" si="7"/>
        <v>4433829</v>
      </c>
      <c r="I64" s="293" t="e">
        <f t="shared" ref="I64:I77" si="9">+G64/$G$91</f>
        <v>#REF!</v>
      </c>
    </row>
    <row r="65" spans="2:9" ht="30" x14ac:dyDescent="0.25">
      <c r="B65" s="244">
        <f>+'[25]LISTA APU'!$F$3478</f>
        <v>7741</v>
      </c>
      <c r="C65" s="260" t="str">
        <f>+'[25]LISTA APU'!$G$3478</f>
        <v>BRIDA CIEGA EN ACERO (HD), PN 10, D= 12". PRESIÓN DE TRABAJO= 150 PSI. SUMINISTRO E INSTALACIÓN.</v>
      </c>
      <c r="D65" s="233" t="str">
        <f t="shared" si="8"/>
        <v>Und</v>
      </c>
      <c r="E65" s="266">
        <f>+[26]Hoja1!$E$15</f>
        <v>1</v>
      </c>
      <c r="F65" s="235">
        <f>+'[25]LISTA APU'!$I$3478</f>
        <v>916399</v>
      </c>
      <c r="G65" s="235">
        <f t="shared" si="7"/>
        <v>916399</v>
      </c>
      <c r="I65" s="293" t="e">
        <f t="shared" si="9"/>
        <v>#REF!</v>
      </c>
    </row>
    <row r="66" spans="2:9" x14ac:dyDescent="0.25">
      <c r="B66" s="244">
        <f>+'[25]LISTA APU'!$F$804</f>
        <v>4426</v>
      </c>
      <c r="C66" s="260" t="str">
        <f>+'[25]LISTA APU'!$G$804</f>
        <v>ACOPLE UNIVERSAL, UNION ALFA O MULTIUSOS D=12" (Suministro e Instalación)</v>
      </c>
      <c r="D66" s="240" t="str">
        <f t="shared" si="8"/>
        <v>Und</v>
      </c>
      <c r="E66" s="266">
        <v>1</v>
      </c>
      <c r="F66" s="235">
        <f>+'[25]LISTA APU'!$I$804</f>
        <v>714367</v>
      </c>
      <c r="G66" s="235">
        <f t="shared" si="7"/>
        <v>714367</v>
      </c>
      <c r="I66" s="293" t="e">
        <f t="shared" si="9"/>
        <v>#REF!</v>
      </c>
    </row>
    <row r="67" spans="2:9" ht="30" x14ac:dyDescent="0.25">
      <c r="B67" s="244">
        <f>+'[25]LISTA APU'!$F$1230</f>
        <v>4978</v>
      </c>
      <c r="C67" s="260" t="str">
        <f>+'[25]LISTA APU'!$G$1230</f>
        <v>CONSTRUCCIÓN DE CAJA PARA VALVULA D= 3", D= 4", D= 6" Y D= 8" (NORMA EAAB NS-027) DE 0.4m x0.5m H=2.0m (Incluye Marco y Tapa).</v>
      </c>
      <c r="D67" s="233" t="str">
        <f t="shared" si="8"/>
        <v>Und</v>
      </c>
      <c r="E67" s="266">
        <v>1</v>
      </c>
      <c r="F67" s="235">
        <f>+'[25]LISTA APU'!$I$1230</f>
        <v>424196</v>
      </c>
      <c r="G67" s="235">
        <f t="shared" si="7"/>
        <v>424196</v>
      </c>
      <c r="I67" s="293" t="e">
        <f t="shared" si="9"/>
        <v>#REF!</v>
      </c>
    </row>
    <row r="68" spans="2:9" ht="30" x14ac:dyDescent="0.25">
      <c r="B68" s="244">
        <f>+'[25]LISTA APU'!$F$1231</f>
        <v>4979</v>
      </c>
      <c r="C68" s="260" t="str">
        <f>+'[25]LISTA APU'!$G$1231</f>
        <v>CONSTRUCCIÓN DE CAJA PARA VALVULA D= 10", D= 12" DE 0.5m x0.6m H=2.0m (Incluye tapa válvula de seguridad).</v>
      </c>
      <c r="D68" s="233" t="str">
        <f t="shared" si="8"/>
        <v>Und</v>
      </c>
      <c r="E68" s="266">
        <f>1+2+2</f>
        <v>5</v>
      </c>
      <c r="F68" s="235">
        <f>+'[25]LISTA APU'!$I$1231</f>
        <v>451201</v>
      </c>
      <c r="G68" s="235">
        <f t="shared" si="7"/>
        <v>2256005</v>
      </c>
      <c r="I68" s="293" t="e">
        <f t="shared" si="9"/>
        <v>#REF!</v>
      </c>
    </row>
    <row r="69" spans="2:9" ht="30" x14ac:dyDescent="0.25">
      <c r="B69" s="244">
        <f>+'[25]LISTA APU'!$F$781</f>
        <v>4403</v>
      </c>
      <c r="C69" s="260" t="str">
        <f>+'[25]LISTA APU'!$G$781</f>
        <v>VALVULA COMPUERTA ELASTICA VASTAGO NO ASCENDENTE EXTREMO LISO D=12" (Suministro e Instalación)</v>
      </c>
      <c r="D69" s="233" t="str">
        <f t="shared" si="8"/>
        <v>Und</v>
      </c>
      <c r="E69" s="266">
        <v>1</v>
      </c>
      <c r="F69" s="235">
        <f>+'[25]LISTA APU'!$I$781</f>
        <v>4924611</v>
      </c>
      <c r="G69" s="235">
        <f t="shared" si="7"/>
        <v>4924611</v>
      </c>
      <c r="I69" s="293" t="e">
        <f t="shared" si="9"/>
        <v>#REF!</v>
      </c>
    </row>
    <row r="70" spans="2:9" ht="30" x14ac:dyDescent="0.25">
      <c r="B70" s="244">
        <f>+'[25]LISTA APU'!$F$2571</f>
        <v>6830</v>
      </c>
      <c r="C70" s="260" t="str">
        <f>+'[25]LISTA APU'!$G$2571</f>
        <v>VALVULA COMPUERTA ELASTICA VASTAGO NO ASCENDENTE EXTREMO JUNTA HIDRÁULICA D=4" (Suministro e Instalación)</v>
      </c>
      <c r="D70" s="233" t="str">
        <f t="shared" si="8"/>
        <v>Und</v>
      </c>
      <c r="E70" s="266">
        <v>1</v>
      </c>
      <c r="F70" s="235">
        <f>+'[25]LISTA APU'!$I$2571</f>
        <v>694819</v>
      </c>
      <c r="G70" s="235">
        <f t="shared" si="7"/>
        <v>694819</v>
      </c>
      <c r="I70" s="293" t="e">
        <f t="shared" si="9"/>
        <v>#REF!</v>
      </c>
    </row>
    <row r="71" spans="2:9" ht="30" x14ac:dyDescent="0.25">
      <c r="B71" s="244">
        <f>+'[25]LISTA APU'!$F$3297</f>
        <v>7558</v>
      </c>
      <c r="C71" s="260" t="str">
        <f>+'[25]LISTA APU'!$G$3297</f>
        <v>VÁLVULA VENTOSA HD COMBINADA TRIPLE ACCIÓN (TRIPLE EFECTO) D=3" EXTREMO EN BRIDA CLASE 150 (Suministro e Instalación)</v>
      </c>
      <c r="D71" s="233" t="str">
        <f t="shared" si="8"/>
        <v>Und</v>
      </c>
      <c r="E71" s="266">
        <v>2</v>
      </c>
      <c r="F71" s="235">
        <f>+'[25]LISTA APU'!$I$3297</f>
        <v>537420</v>
      </c>
      <c r="G71" s="235">
        <f t="shared" si="7"/>
        <v>1074840</v>
      </c>
      <c r="I71" s="293" t="e">
        <f t="shared" si="9"/>
        <v>#REF!</v>
      </c>
    </row>
    <row r="72" spans="2:9" ht="30" x14ac:dyDescent="0.25">
      <c r="B72" s="244">
        <f>+'[25]LISTA APU'!$F$3305</f>
        <v>7566</v>
      </c>
      <c r="C72" s="260" t="str">
        <f>+'[25]LISTA APU'!$G$3305</f>
        <v>VÁLVULA COMPUERTA ELÁSTICA  EXTREMOS BRIDADOS D=3" 150 PSI (Suministro e Instalación)</v>
      </c>
      <c r="D72" s="233" t="str">
        <f t="shared" si="8"/>
        <v>Und</v>
      </c>
      <c r="E72" s="266">
        <f>+E71</f>
        <v>2</v>
      </c>
      <c r="F72" s="235">
        <f>+'[25]LISTA APU'!$I$3305</f>
        <v>362127</v>
      </c>
      <c r="G72" s="235">
        <f t="shared" si="7"/>
        <v>724254</v>
      </c>
      <c r="I72" s="293" t="e">
        <f t="shared" si="9"/>
        <v>#REF!</v>
      </c>
    </row>
    <row r="73" spans="2:9" ht="30" x14ac:dyDescent="0.25">
      <c r="B73" s="244">
        <f>+'[25]LISTA APU'!$F$3194</f>
        <v>7455</v>
      </c>
      <c r="C73" s="260" t="str">
        <f>+'[25]LISTA APU'!$G$3194</f>
        <v>VÁLVULA DE MARIPOSA Ø 12"A BRIDA - BRIDA (A) (150 PSI). SUMINISTRO E INSTALACIÓN</v>
      </c>
      <c r="D73" s="233" t="str">
        <f t="shared" si="8"/>
        <v>Und</v>
      </c>
      <c r="E73" s="266">
        <f>+E72+E77</f>
        <v>4</v>
      </c>
      <c r="F73" s="235">
        <f>+'[25]LISTA APU'!$I$3194</f>
        <v>1123562</v>
      </c>
      <c r="G73" s="235">
        <f t="shared" si="7"/>
        <v>4494248</v>
      </c>
      <c r="I73" s="293" t="e">
        <f t="shared" si="9"/>
        <v>#REF!</v>
      </c>
    </row>
    <row r="74" spans="2:9" x14ac:dyDescent="0.25">
      <c r="B74" s="244">
        <f>+'[25]LISTA APU'!$F$3219</f>
        <v>7480</v>
      </c>
      <c r="C74" s="260" t="str">
        <f>+'[25]LISTA APU'!$G$3219</f>
        <v>UNIÓN JUNTA DE DESMONTAJE Ø 12 (A) (Suministro e Instalación)</v>
      </c>
      <c r="D74" s="233" t="str">
        <f t="shared" si="8"/>
        <v>Und</v>
      </c>
      <c r="E74" s="266">
        <f>2+2</f>
        <v>4</v>
      </c>
      <c r="F74" s="235">
        <f>+'[25]LISTA APU'!$I$3219</f>
        <v>1500607</v>
      </c>
      <c r="G74" s="235">
        <f t="shared" si="7"/>
        <v>6002428</v>
      </c>
      <c r="I74" s="293" t="e">
        <f t="shared" si="9"/>
        <v>#REF!</v>
      </c>
    </row>
    <row r="75" spans="2:9" ht="30" x14ac:dyDescent="0.25">
      <c r="B75" s="244">
        <f>+'[25]LISTA APU'!$F$3306</f>
        <v>7567</v>
      </c>
      <c r="C75" s="260" t="str">
        <f>+'[25]LISTA APU'!$G$3306</f>
        <v>UNIÓN JUNTA DE DESMONTAJE TIPO DRESSER Ø 4"  150 PSI (Suministro e Instalación)</v>
      </c>
      <c r="D75" s="233" t="str">
        <f t="shared" si="8"/>
        <v>Und</v>
      </c>
      <c r="E75" s="266">
        <v>2</v>
      </c>
      <c r="F75" s="235">
        <f>+'[25]LISTA APU'!$I$3306</f>
        <v>574521</v>
      </c>
      <c r="G75" s="235">
        <f t="shared" si="7"/>
        <v>1149042</v>
      </c>
      <c r="I75" s="293"/>
    </row>
    <row r="76" spans="2:9" x14ac:dyDescent="0.25">
      <c r="B76" s="244">
        <f>+'[25]LISTA APU'!$F$3294</f>
        <v>7555</v>
      </c>
      <c r="C76" s="260" t="str">
        <f>+'[25]LISTA APU'!$G$3294</f>
        <v>VÁLVULA  DE CHEQUE 4" (150PSI) EXTREMOS BRIDADOS (Suministro e instalación)</v>
      </c>
      <c r="D76" s="233" t="str">
        <f>+D74</f>
        <v>Und</v>
      </c>
      <c r="E76" s="266">
        <v>2</v>
      </c>
      <c r="F76" s="235">
        <f>+'[25]LISTA APU'!$I$3294</f>
        <v>965107</v>
      </c>
      <c r="G76" s="235">
        <f t="shared" si="7"/>
        <v>1930214</v>
      </c>
      <c r="I76" s="293" t="e">
        <f t="shared" si="9"/>
        <v>#REF!</v>
      </c>
    </row>
    <row r="77" spans="2:9" ht="30" x14ac:dyDescent="0.25">
      <c r="B77" s="244">
        <f>+'[25]LISTA APU'!$F$2387</f>
        <v>6644</v>
      </c>
      <c r="C77" s="260" t="str">
        <f>+'[25]LISTA APU'!$G$2387</f>
        <v>VÁLVULA COMPUERTA ELÁSTICA VA (VÁSTAGO ASCENDENTE) D=4" CLASE 150mm CON EXTREMOS BRIDADOS (Suministro e instalación)</v>
      </c>
      <c r="D77" s="233" t="str">
        <f>+D76</f>
        <v>Und</v>
      </c>
      <c r="E77" s="266">
        <v>2</v>
      </c>
      <c r="F77" s="235">
        <f>+'[25]LISTA APU'!$I$2387</f>
        <v>877184</v>
      </c>
      <c r="G77" s="235">
        <f t="shared" si="7"/>
        <v>1754368</v>
      </c>
      <c r="I77" s="293" t="e">
        <f t="shared" si="9"/>
        <v>#REF!</v>
      </c>
    </row>
    <row r="78" spans="2:9" x14ac:dyDescent="0.25">
      <c r="B78" s="16"/>
      <c r="C78" s="19"/>
      <c r="D78" s="168"/>
      <c r="E78" s="177"/>
      <c r="F78" s="206"/>
      <c r="G78" s="206"/>
      <c r="I78" s="293"/>
    </row>
    <row r="79" spans="2:9" x14ac:dyDescent="0.25">
      <c r="B79" s="295">
        <v>16</v>
      </c>
      <c r="C79" s="6" t="s">
        <v>366</v>
      </c>
      <c r="D79" s="168"/>
      <c r="E79" s="168"/>
      <c r="F79" s="206"/>
      <c r="G79" s="206"/>
      <c r="I79" s="293"/>
    </row>
    <row r="80" spans="2:9" x14ac:dyDescent="0.25">
      <c r="B80" s="295"/>
      <c r="C80" s="17" t="s">
        <v>85</v>
      </c>
      <c r="D80" s="168"/>
      <c r="E80" s="168"/>
      <c r="F80" s="206"/>
      <c r="G80" s="228" t="e">
        <f>+G81+G82+G83</f>
        <v>#REF!</v>
      </c>
      <c r="I80" s="293" t="e">
        <f>+G80/$G$91</f>
        <v>#REF!</v>
      </c>
    </row>
    <row r="81" spans="2:17" ht="30" x14ac:dyDescent="0.25">
      <c r="B81" s="262">
        <f>+[23]SABANA_CENTRO!$A$514</f>
        <v>16.2</v>
      </c>
      <c r="C81" s="248" t="str">
        <f>+[23]SABANA_CENTRO!$C$514</f>
        <v>EXCAVACIONES VARIAS A MÁQUINA SIN CLASIFICAR (INCLUYE RETIRO DE SOBRANTES A UNA DISTANCIA MENOR DE 5 KM)</v>
      </c>
      <c r="D81" s="262" t="str">
        <f>+D89</f>
        <v>M3</v>
      </c>
      <c r="E81" s="264" t="e">
        <f>+#REF!+#REF!+#REF!</f>
        <v>#REF!</v>
      </c>
      <c r="F81" s="250">
        <f>+[23]SABANA_CENTRO!$G$514</f>
        <v>18479</v>
      </c>
      <c r="G81" s="250" t="e">
        <f t="shared" ref="G81:G83" si="10">+F81*E81</f>
        <v>#REF!</v>
      </c>
      <c r="I81" s="293" t="e">
        <f>+G81/$G$91</f>
        <v>#REF!</v>
      </c>
    </row>
    <row r="82" spans="2:17" x14ac:dyDescent="0.25">
      <c r="B82" s="262">
        <v>16.600000000000001</v>
      </c>
      <c r="C82" s="248" t="str">
        <f>+[21]SABANA_OCCIDENTE!$C$518</f>
        <v>EXCAVACIÓN MANUAL EN ROCA H=0.0-2.0 M (SECO SIN EXPLOSIVOS)</v>
      </c>
      <c r="D82" s="262" t="str">
        <f>+D81</f>
        <v>M3</v>
      </c>
      <c r="E82" s="264" t="e">
        <f>+#REF!</f>
        <v>#REF!</v>
      </c>
      <c r="F82" s="250">
        <f>+[21]SABANA_OCCIDENTE!$G$518</f>
        <v>89578</v>
      </c>
      <c r="G82" s="250" t="e">
        <f t="shared" si="10"/>
        <v>#REF!</v>
      </c>
      <c r="I82" s="293"/>
    </row>
    <row r="83" spans="2:17" x14ac:dyDescent="0.25">
      <c r="B83" s="262">
        <f>+[27]Formulario_2!$B$68</f>
        <v>1.45</v>
      </c>
      <c r="C83" s="248" t="str">
        <f>+[27]Formulario_2!$C$68</f>
        <v>RETIRO DE SOBRANTES A UNA DISTANCIA DE 5 KM (INCLUYE CARGUE)</v>
      </c>
      <c r="D83" s="262" t="str">
        <f>+D81</f>
        <v>M3</v>
      </c>
      <c r="E83" s="264" t="e">
        <f>+E12+E13</f>
        <v>#REF!</v>
      </c>
      <c r="F83" s="250">
        <f>+[27]Formulario_2!$F$68</f>
        <v>9189</v>
      </c>
      <c r="G83" s="250" t="e">
        <f t="shared" si="10"/>
        <v>#REF!</v>
      </c>
      <c r="I83" s="293" t="e">
        <f>+G83/$G$91</f>
        <v>#REF!</v>
      </c>
    </row>
    <row r="84" spans="2:17" hidden="1" x14ac:dyDescent="0.25">
      <c r="B84" s="244">
        <f>+[27]Formulario_2!$B$69</f>
        <v>3009</v>
      </c>
      <c r="C84" s="290" t="str">
        <f>+[27]Formulario_2!$C$69</f>
        <v>EXCAVACION MANUAL PARA REDES PROFUNDIDAD 0m - 2m (Incluye Cargue)</v>
      </c>
      <c r="D84" s="258" t="str">
        <f>+[27]Formulario_2!$D$69</f>
        <v>M3</v>
      </c>
      <c r="E84" s="263" t="e">
        <f>+E89</f>
        <v>#REF!</v>
      </c>
      <c r="F84" s="235">
        <f>+[27]Formulario_2!$F$69</f>
        <v>25076</v>
      </c>
      <c r="G84" s="291" t="e">
        <f>+E84*F84</f>
        <v>#REF!</v>
      </c>
    </row>
    <row r="85" spans="2:17" hidden="1" x14ac:dyDescent="0.25">
      <c r="B85" s="244">
        <f>+'[22]LISTA APU'!$F$671</f>
        <v>4262</v>
      </c>
      <c r="C85" s="290" t="str">
        <f>+'[22]LISTA APU'!$G$671</f>
        <v>EXCAVACION MECANICA PARA REDES PROFUNDIDAD 0m - 3.5m (Incluye Cargue)</v>
      </c>
      <c r="D85" s="258" t="str">
        <f>+D81</f>
        <v>M3</v>
      </c>
      <c r="E85" s="263" t="e">
        <f>+#REF!-E84</f>
        <v>#REF!</v>
      </c>
      <c r="F85" s="235">
        <f>+'[22]LISTA APU'!$I$671</f>
        <v>4627</v>
      </c>
      <c r="G85" s="291" t="e">
        <f>+E85*F85</f>
        <v>#REF!</v>
      </c>
    </row>
    <row r="86" spans="2:17" ht="30" hidden="1" x14ac:dyDescent="0.25">
      <c r="B86" s="244">
        <f>+'[22]LISTA APU'!$F$1775</f>
        <v>5891</v>
      </c>
      <c r="C86" s="290" t="str">
        <f>+'[22]LISTA APU'!$G$1775</f>
        <v>EXCAVACION MECANICA PARA REDES PROFUNDIDAD MAYORES A 3.5m (Incluye Cargue).</v>
      </c>
      <c r="D86" s="258" t="str">
        <f>+'[22]LISTA APU'!$H$1775</f>
        <v>M3</v>
      </c>
      <c r="E86" s="263" t="e">
        <f>+#REF!</f>
        <v>#REF!</v>
      </c>
      <c r="F86" s="235">
        <f>+'[22]LISTA APU'!$I$1775</f>
        <v>3421</v>
      </c>
      <c r="G86" s="291" t="e">
        <f>+E86*F86</f>
        <v>#REF!</v>
      </c>
    </row>
    <row r="87" spans="2:17" ht="45" hidden="1" x14ac:dyDescent="0.25">
      <c r="B87" s="244">
        <f>+'[22]LISTA APU'!$F$2236</f>
        <v>6462</v>
      </c>
      <c r="C87" s="260" t="str">
        <f>+'[22]LISTA APU'!$G$2236</f>
        <v>TRANSPORTE DE ESCOMBROS EN SITIO AUTORIZADO (distancia de transporte 1 Km). A distancia mayor del acarreo libre (90 m) en sitio autorizado por la entidad Ambiental competente.</v>
      </c>
      <c r="D87" s="258" t="str">
        <f>+'[22]LISTA APU'!$H$2236</f>
        <v>M3-KM</v>
      </c>
      <c r="E87" s="263" t="e">
        <f>+(E81+E89-E11)</f>
        <v>#REF!</v>
      </c>
      <c r="F87" s="235">
        <f>+'[22]LISTA APU'!$I$2236</f>
        <v>964</v>
      </c>
      <c r="G87" s="291" t="e">
        <f>+E87*F87</f>
        <v>#REF!</v>
      </c>
    </row>
    <row r="88" spans="2:17" ht="30" hidden="1" x14ac:dyDescent="0.25">
      <c r="B88" s="244">
        <f>+'[22]LISTA APU'!$F$2237</f>
        <v>6463</v>
      </c>
      <c r="C88" s="260" t="str">
        <f>+'[22]LISTA APU'!$G$2237</f>
        <v>DERECHO DE BOTADERO DE ESCOMBROS EN SITIO AUTORIZADO POR M3 en sitio autorizado por la entidad Ambiental competente.</v>
      </c>
      <c r="D88" s="258" t="str">
        <f>+'[22]LISTA APU'!$H$2237</f>
        <v>M3-KM</v>
      </c>
      <c r="E88" s="263" t="e">
        <f>+E87</f>
        <v>#REF!</v>
      </c>
      <c r="F88" s="235">
        <f>+'[22]LISTA APU'!$I$2237</f>
        <v>3400</v>
      </c>
      <c r="G88" s="235" t="e">
        <f>+F88*E88</f>
        <v>#REF!</v>
      </c>
    </row>
    <row r="89" spans="2:17" s="251" customFormat="1" ht="30" hidden="1" x14ac:dyDescent="0.25">
      <c r="B89" s="262">
        <f>+[20]SABANA_CENTRO!$A$515</f>
        <v>16.399999999999999</v>
      </c>
      <c r="C89" s="248" t="str">
        <f>+[20]SABANA_CENTRO!$C$515</f>
        <v>EXCAVACIÓN MANUAL EN MATERIAL COMÚN H=0.0-2.0 M (INCLUYE RETIRO DE SOBRANTES A UNA DISTANCIA MENOR DE 5 KM)</v>
      </c>
      <c r="D89" s="262" t="str">
        <f>+[20]SABANA_CENTRO!$D$515</f>
        <v>M3</v>
      </c>
      <c r="E89" s="264" t="e">
        <f>+#REF!</f>
        <v>#REF!</v>
      </c>
      <c r="F89" s="250">
        <f>+[23]SABANA_CENTRO!$M$516</f>
        <v>43707</v>
      </c>
      <c r="G89" s="250" t="e">
        <f>+E89*F89</f>
        <v>#REF!</v>
      </c>
      <c r="I89" s="256"/>
    </row>
    <row r="90" spans="2:17" x14ac:dyDescent="0.25">
      <c r="B90" s="34"/>
      <c r="C90" s="35"/>
      <c r="D90" s="36"/>
      <c r="E90" s="37"/>
      <c r="F90" s="38"/>
      <c r="G90" s="39"/>
    </row>
    <row r="91" spans="2:17" x14ac:dyDescent="0.25">
      <c r="B91" s="40"/>
      <c r="C91" s="11" t="s">
        <v>17</v>
      </c>
      <c r="D91" s="40"/>
      <c r="E91" s="40"/>
      <c r="F91" s="40"/>
      <c r="G91" s="204" t="e">
        <f>+G37+G80+G15+G8</f>
        <v>#REF!</v>
      </c>
      <c r="I91" s="238"/>
    </row>
    <row r="92" spans="2:17" x14ac:dyDescent="0.25">
      <c r="B92" s="40"/>
      <c r="C92" s="11" t="s">
        <v>18</v>
      </c>
      <c r="D92" s="40"/>
      <c r="E92" s="40"/>
      <c r="F92" s="40"/>
      <c r="G92" s="204" t="e">
        <f>+G91*0.3</f>
        <v>#REF!</v>
      </c>
      <c r="J92" s="396" t="s">
        <v>158</v>
      </c>
      <c r="K92" s="396"/>
      <c r="L92" s="396"/>
      <c r="M92" s="396"/>
      <c r="N92" s="396"/>
      <c r="O92" s="298" t="s">
        <v>427</v>
      </c>
      <c r="P92" s="298" t="s">
        <v>428</v>
      </c>
      <c r="Q92" s="2" t="s">
        <v>429</v>
      </c>
    </row>
    <row r="93" spans="2:17" x14ac:dyDescent="0.25">
      <c r="B93" s="40"/>
      <c r="C93" s="11" t="s">
        <v>19</v>
      </c>
      <c r="D93" s="40"/>
      <c r="E93" s="40"/>
      <c r="F93" s="40"/>
      <c r="G93" s="205" t="e">
        <f>+G91+G92</f>
        <v>#REF!</v>
      </c>
      <c r="I93" s="205"/>
      <c r="J93" s="304" t="str">
        <f>+[28]PPTO!$F$25</f>
        <v>Suministro e Instalación de tubería de la Red de Acueducto</v>
      </c>
      <c r="O93" s="305">
        <f>+[28]PPTO!$I$25</f>
        <v>271588138.61563325</v>
      </c>
      <c r="P93" s="305" t="e">
        <f>+G8+G24+G80</f>
        <v>#REF!</v>
      </c>
      <c r="Q93" s="149" t="e">
        <f>+(O93-P93)/P93</f>
        <v>#REF!</v>
      </c>
    </row>
    <row r="94" spans="2:17" x14ac:dyDescent="0.25">
      <c r="B94" s="40"/>
      <c r="C94" s="11"/>
      <c r="D94" s="40"/>
      <c r="E94" s="40"/>
      <c r="F94" s="40"/>
      <c r="G94" s="205"/>
      <c r="I94" s="205"/>
      <c r="J94" s="304" t="str">
        <f>+[28]PPTO!$F$26</f>
        <v>Suministro e instalación de accesorios</v>
      </c>
      <c r="O94" s="305">
        <f>+[28]PPTO!$I$26</f>
        <v>32100327.839999996</v>
      </c>
      <c r="P94" s="305">
        <f>+G66+G65+G64+G63+G62+G61+G60</f>
        <v>30207830</v>
      </c>
      <c r="Q94" s="149">
        <f>+(O94-P94)/P94</f>
        <v>6.2649248224715126E-2</v>
      </c>
    </row>
    <row r="95" spans="2:17" x14ac:dyDescent="0.25">
      <c r="B95" s="40"/>
      <c r="C95" s="11" t="s">
        <v>426</v>
      </c>
      <c r="D95" s="40"/>
      <c r="E95" s="40"/>
      <c r="F95" s="293">
        <v>7.0000000000000007E-2</v>
      </c>
      <c r="G95" s="205" t="e">
        <f>+G93*F95</f>
        <v>#REF!</v>
      </c>
      <c r="I95" s="205"/>
      <c r="J95" s="304" t="str">
        <f>+[28]PPTO!$F$27</f>
        <v>Suministro y construcción de anclajes para accesorios</v>
      </c>
      <c r="O95" s="305">
        <f>+[28]PPTO!$I$27</f>
        <v>64601047.737999998</v>
      </c>
      <c r="P95" s="305">
        <f>+G58+G59</f>
        <v>27962354.035999998</v>
      </c>
      <c r="Q95" s="149">
        <f>+(O95-P95)/P95</f>
        <v>1.310286453523537</v>
      </c>
    </row>
    <row r="96" spans="2:17" x14ac:dyDescent="0.25">
      <c r="B96" s="40"/>
      <c r="C96" s="11"/>
      <c r="D96" s="40"/>
      <c r="E96" s="40"/>
      <c r="F96" s="40"/>
      <c r="G96" s="205"/>
      <c r="I96" s="205"/>
      <c r="J96" s="304" t="str">
        <f>+[28]PPTO!$F$28</f>
        <v>Suministro e instalación de válvulas y cajas de la Red de Acueducto</v>
      </c>
      <c r="O96" s="305">
        <f>+[28]PPTO!$I$28</f>
        <v>12997595.069563657</v>
      </c>
      <c r="P96" s="305">
        <f>+G77+G76+G73+G74+G75+G72+G71+G70+G69+G68+G67</f>
        <v>25429025</v>
      </c>
      <c r="Q96" s="149">
        <f>+(O96-P96)/P96</f>
        <v>-0.48886773796621552</v>
      </c>
    </row>
    <row r="97" spans="2:17" x14ac:dyDescent="0.25">
      <c r="B97" s="40"/>
      <c r="C97" s="11" t="s">
        <v>4</v>
      </c>
      <c r="D97" s="40"/>
      <c r="E97" s="40"/>
      <c r="F97" s="40"/>
      <c r="G97" s="205" t="e">
        <f>+G95+G93</f>
        <v>#REF!</v>
      </c>
      <c r="I97" s="205"/>
      <c r="J97" s="165" t="s">
        <v>430</v>
      </c>
      <c r="O97" s="306">
        <f>SUM(O93:O96)</f>
        <v>381287109.26319683</v>
      </c>
      <c r="P97" s="306" t="e">
        <f>SUM(P93:P96)</f>
        <v>#REF!</v>
      </c>
      <c r="Q97" s="149" t="e">
        <f>+(O97-P97)/P97</f>
        <v>#REF!</v>
      </c>
    </row>
    <row r="98" spans="2:17" x14ac:dyDescent="0.25">
      <c r="B98" s="40"/>
      <c r="C98" s="11"/>
      <c r="D98" s="40"/>
      <c r="E98" s="40"/>
      <c r="F98" s="40"/>
      <c r="G98" s="205"/>
      <c r="I98" s="205"/>
      <c r="O98" s="299"/>
      <c r="P98" s="308"/>
    </row>
    <row r="99" spans="2:17" x14ac:dyDescent="0.25">
      <c r="B99" s="251"/>
      <c r="C99" s="11" t="s">
        <v>419</v>
      </c>
      <c r="J99" s="304" t="str">
        <f>+[28]PPTO!$F$47</f>
        <v>Administración y Gastos Generales</v>
      </c>
      <c r="M99" s="307">
        <f>+[28]PPTO!$H$47</f>
        <v>0.12</v>
      </c>
      <c r="O99" s="305">
        <f>+O97*M99</f>
        <v>45754453.11158362</v>
      </c>
      <c r="P99" s="305" t="e">
        <f>+G92</f>
        <v>#REF!</v>
      </c>
    </row>
    <row r="100" spans="2:17" x14ac:dyDescent="0.25">
      <c r="B100" s="236"/>
      <c r="C100" s="11" t="s">
        <v>424</v>
      </c>
      <c r="J100" s="304" t="str">
        <f>+[28]PPTO!$F$50</f>
        <v>Imprevistos 8% (CD + ADMON + GG)</v>
      </c>
      <c r="M100" s="307">
        <f>+[28]PPTO!$H$50</f>
        <v>0.08</v>
      </c>
      <c r="O100" s="305">
        <f>+O97*M100</f>
        <v>30502968.741055746</v>
      </c>
      <c r="P100" s="305"/>
    </row>
    <row r="101" spans="2:17" x14ac:dyDescent="0.25">
      <c r="O101" s="299"/>
      <c r="P101" s="305"/>
    </row>
    <row r="102" spans="2:17" x14ac:dyDescent="0.25">
      <c r="O102" s="299"/>
      <c r="P102" s="305"/>
    </row>
    <row r="103" spans="2:17" x14ac:dyDescent="0.25">
      <c r="F103" s="296" t="s">
        <v>385</v>
      </c>
      <c r="G103" s="204" t="e">
        <f>+G93/(E24)</f>
        <v>#REF!</v>
      </c>
      <c r="J103" s="304" t="str">
        <f>+[28]PPTO!$F$53</f>
        <v>Interventoría</v>
      </c>
      <c r="M103" s="307">
        <f>+[28]PPTO!$H$53</f>
        <v>7.0000000000000007E-2</v>
      </c>
      <c r="O103" s="305">
        <f>+O97*M103</f>
        <v>26690097.64842378</v>
      </c>
      <c r="P103" s="305" t="e">
        <f>+G95</f>
        <v>#REF!</v>
      </c>
    </row>
    <row r="104" spans="2:17" x14ac:dyDescent="0.25">
      <c r="E104" s="267"/>
      <c r="O104" s="299"/>
      <c r="P104" s="305"/>
    </row>
    <row r="105" spans="2:17" x14ac:dyDescent="0.25">
      <c r="F105" s="297"/>
      <c r="J105" s="165" t="s">
        <v>4</v>
      </c>
      <c r="O105" s="306">
        <f>+O103+O100+O99+O97</f>
        <v>484234628.76425993</v>
      </c>
      <c r="P105" s="306" t="e">
        <f>+P103+P99+P97</f>
        <v>#REF!</v>
      </c>
      <c r="Q105" s="149" t="e">
        <f>+(O105-P105)/P105</f>
        <v>#REF!</v>
      </c>
    </row>
    <row r="106" spans="2:17" x14ac:dyDescent="0.25">
      <c r="O106" s="299"/>
    </row>
    <row r="107" spans="2:17" x14ac:dyDescent="0.25">
      <c r="E107" s="2"/>
      <c r="F107" s="294" t="s">
        <v>336</v>
      </c>
      <c r="G107" s="294" t="s">
        <v>33</v>
      </c>
      <c r="H107" s="2"/>
      <c r="I107" s="294" t="s">
        <v>410</v>
      </c>
      <c r="O107" s="305" t="e">
        <f>+O105-G97</f>
        <v>#REF!</v>
      </c>
    </row>
    <row r="108" spans="2:17" x14ac:dyDescent="0.25">
      <c r="E108" s="2" t="s">
        <v>398</v>
      </c>
      <c r="F108" s="205">
        <f>+[29]Formulario_2!$F$83</f>
        <v>1172563333.1239896</v>
      </c>
      <c r="G108" s="289">
        <f>+[29]Formulario_2!$G$83</f>
        <v>3963.611846063076</v>
      </c>
      <c r="H108" s="294"/>
      <c r="I108" s="205">
        <f t="shared" ref="I108:I110" si="11">+F108/G108</f>
        <v>295832.0286303155</v>
      </c>
      <c r="O108" s="309" t="e">
        <f>+O107/G97</f>
        <v>#REF!</v>
      </c>
    </row>
    <row r="109" spans="2:17" x14ac:dyDescent="0.25">
      <c r="E109" s="2" t="s">
        <v>411</v>
      </c>
      <c r="F109" s="205">
        <f>+[30]Formulario_2!$F$84</f>
        <v>725803006.72068584</v>
      </c>
      <c r="G109" s="289">
        <f>+[30]Formulario_2!$G$84</f>
        <v>2389.6809932939327</v>
      </c>
      <c r="H109" s="294"/>
      <c r="I109" s="205">
        <f t="shared" si="11"/>
        <v>303723.80613039067</v>
      </c>
    </row>
    <row r="110" spans="2:17" x14ac:dyDescent="0.25">
      <c r="E110" s="2" t="s">
        <v>412</v>
      </c>
      <c r="F110" s="205" t="e">
        <f>+G93</f>
        <v>#REF!</v>
      </c>
      <c r="G110" s="289" t="e">
        <f>+E16+E17+E19+E21+E23+E24+E26+E27+E29+E31</f>
        <v>#REF!</v>
      </c>
      <c r="H110" s="294"/>
      <c r="I110" s="205" t="e">
        <f t="shared" si="11"/>
        <v>#REF!</v>
      </c>
    </row>
    <row r="111" spans="2:17" x14ac:dyDescent="0.25">
      <c r="E111" s="2" t="s">
        <v>413</v>
      </c>
    </row>
    <row r="112" spans="2:17" x14ac:dyDescent="0.25">
      <c r="E112" s="2" t="s">
        <v>414</v>
      </c>
    </row>
    <row r="113" spans="5:9" x14ac:dyDescent="0.25">
      <c r="E113" s="2" t="s">
        <v>415</v>
      </c>
    </row>
    <row r="114" spans="5:9" x14ac:dyDescent="0.25">
      <c r="E114" s="2" t="s">
        <v>416</v>
      </c>
    </row>
    <row r="115" spans="5:9" x14ac:dyDescent="0.25">
      <c r="I115" s="205"/>
    </row>
    <row r="116" spans="5:9" x14ac:dyDescent="0.25">
      <c r="F116" s="205" t="e">
        <f>+F108+F109+F110+F111+F112+F113+F114</f>
        <v>#REF!</v>
      </c>
      <c r="G116" s="289" t="e">
        <f>+G108+G109+G110+G111+G112+G113+G114</f>
        <v>#REF!</v>
      </c>
      <c r="I116" s="205" t="e">
        <f>+F116/G116</f>
        <v>#REF!</v>
      </c>
    </row>
  </sheetData>
  <mergeCells count="5">
    <mergeCell ref="B2:G2"/>
    <mergeCell ref="B3:G3"/>
    <mergeCell ref="F4:G4"/>
    <mergeCell ref="B5:G5"/>
    <mergeCell ref="J92:N92"/>
  </mergeCells>
  <pageMargins left="0.70866141732283472" right="0.70866141732283472" top="0.74803149606299213" bottom="0.74803149606299213" header="0.31496062992125984" footer="0.31496062992125984"/>
  <pageSetup scale="63" orientation="portrait" r:id="rId1"/>
  <ignoredErrors>
    <ignoredError sqref="D7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4"/>
  <sheetViews>
    <sheetView view="pageBreakPreview" topLeftCell="A4" zoomScale="80" zoomScaleNormal="100" zoomScaleSheetLayoutView="80" workbookViewId="0">
      <selection activeCell="E24" sqref="E24"/>
    </sheetView>
  </sheetViews>
  <sheetFormatPr baseColWidth="10" defaultRowHeight="15" x14ac:dyDescent="0.25"/>
  <cols>
    <col min="1" max="1" width="6.28515625" customWidth="1"/>
    <col min="2" max="2" width="12.7109375" customWidth="1"/>
    <col min="3" max="3" width="62.5703125" customWidth="1"/>
    <col min="7" max="7" width="15.140625" bestFit="1" customWidth="1"/>
  </cols>
  <sheetData>
    <row r="2" spans="2:7" x14ac:dyDescent="0.25">
      <c r="B2" s="396" t="e">
        <f>+#REF!</f>
        <v>#REF!</v>
      </c>
      <c r="C2" s="396"/>
      <c r="D2" s="396"/>
      <c r="E2" s="396"/>
      <c r="F2" s="396"/>
      <c r="G2" s="396"/>
    </row>
    <row r="3" spans="2:7" ht="15" customHeight="1" x14ac:dyDescent="0.25">
      <c r="B3" s="394" t="e">
        <f>+#REF!</f>
        <v>#REF!</v>
      </c>
      <c r="C3" s="394"/>
      <c r="D3" s="394"/>
      <c r="E3" s="394"/>
      <c r="F3" s="394"/>
      <c r="G3" s="394"/>
    </row>
    <row r="4" spans="2:7" x14ac:dyDescent="0.25">
      <c r="E4" s="4"/>
    </row>
    <row r="5" spans="2:7" x14ac:dyDescent="0.25">
      <c r="B5" s="395" t="s">
        <v>40</v>
      </c>
      <c r="C5" s="395"/>
      <c r="D5" s="395"/>
      <c r="E5" s="395"/>
      <c r="F5" s="395"/>
      <c r="G5" s="395"/>
    </row>
    <row r="6" spans="2:7" ht="30" x14ac:dyDescent="0.25">
      <c r="B6" s="194" t="s">
        <v>10</v>
      </c>
      <c r="C6" s="194" t="s">
        <v>5</v>
      </c>
      <c r="D6" s="194" t="s">
        <v>6</v>
      </c>
      <c r="E6" s="150" t="s">
        <v>7</v>
      </c>
      <c r="F6" s="150" t="s">
        <v>279</v>
      </c>
      <c r="G6" s="150" t="s">
        <v>280</v>
      </c>
    </row>
    <row r="7" spans="2:7" x14ac:dyDescent="0.25">
      <c r="B7" s="13">
        <v>3</v>
      </c>
      <c r="C7" s="6" t="s">
        <v>20</v>
      </c>
      <c r="D7" s="168"/>
      <c r="E7" s="7"/>
      <c r="F7" s="3"/>
      <c r="G7" s="3"/>
    </row>
    <row r="8" spans="2:7" x14ac:dyDescent="0.25">
      <c r="B8" s="6" t="s">
        <v>21</v>
      </c>
      <c r="C8" s="6" t="s">
        <v>22</v>
      </c>
      <c r="D8" s="168"/>
      <c r="E8" s="7"/>
      <c r="F8" s="3"/>
      <c r="G8" s="3"/>
    </row>
    <row r="9" spans="2:7" x14ac:dyDescent="0.25">
      <c r="B9" s="6" t="s">
        <v>23</v>
      </c>
      <c r="C9" s="6" t="s">
        <v>24</v>
      </c>
      <c r="D9" s="168"/>
      <c r="E9" s="7"/>
      <c r="F9" s="9"/>
      <c r="G9" s="10"/>
    </row>
    <row r="10" spans="2:7" x14ac:dyDescent="0.25">
      <c r="B10" s="14" t="s">
        <v>25</v>
      </c>
      <c r="C10" s="6" t="s">
        <v>26</v>
      </c>
      <c r="D10" s="168"/>
      <c r="E10" s="7"/>
      <c r="F10" s="3"/>
      <c r="G10" s="3"/>
    </row>
    <row r="11" spans="2:7" ht="30" x14ac:dyDescent="0.25">
      <c r="B11" s="14" t="s">
        <v>27</v>
      </c>
      <c r="C11" s="15" t="s">
        <v>28</v>
      </c>
      <c r="D11" s="168"/>
      <c r="E11" s="7"/>
      <c r="F11" s="3"/>
      <c r="G11" s="3"/>
    </row>
    <row r="12" spans="2:7" x14ac:dyDescent="0.25">
      <c r="B12" s="12" t="s">
        <v>29</v>
      </c>
      <c r="C12" s="12" t="s">
        <v>30</v>
      </c>
      <c r="D12" s="7" t="s">
        <v>33</v>
      </c>
      <c r="E12" s="7">
        <f>CEILING((+Formulario_4!E10*1+Formulario_4!E11*3+Formulario_4!E12*5+Formulario_4!E16*12+Formulario_4!E13*6+Formulario_4!E14*7+Formulario_4!E15*9),6)</f>
        <v>0</v>
      </c>
      <c r="F12" s="206">
        <f>+Formulario_1!G40</f>
        <v>26532</v>
      </c>
      <c r="G12" s="214">
        <f>+E12*F12</f>
        <v>0</v>
      </c>
    </row>
    <row r="13" spans="2:7" x14ac:dyDescent="0.25">
      <c r="B13" s="14" t="s">
        <v>41</v>
      </c>
      <c r="C13" s="14" t="s">
        <v>42</v>
      </c>
      <c r="D13" s="7"/>
      <c r="E13" s="7"/>
      <c r="F13" s="206"/>
      <c r="G13" s="214"/>
    </row>
    <row r="14" spans="2:7" x14ac:dyDescent="0.25">
      <c r="B14" s="14" t="s">
        <v>36</v>
      </c>
      <c r="C14" s="14" t="s">
        <v>37</v>
      </c>
      <c r="D14" s="7"/>
      <c r="E14" s="7"/>
      <c r="F14" s="206"/>
      <c r="G14" s="214"/>
    </row>
    <row r="15" spans="2:7" ht="30" x14ac:dyDescent="0.25">
      <c r="B15" s="6" t="s">
        <v>43</v>
      </c>
      <c r="C15" s="17" t="s">
        <v>44</v>
      </c>
      <c r="D15" s="3"/>
      <c r="E15" s="7"/>
      <c r="F15" s="206"/>
      <c r="G15" s="206"/>
    </row>
    <row r="16" spans="2:7" x14ac:dyDescent="0.25">
      <c r="B16" s="6" t="s">
        <v>45</v>
      </c>
      <c r="C16" s="17" t="s">
        <v>46</v>
      </c>
      <c r="D16" s="3"/>
      <c r="E16" s="7"/>
      <c r="F16" s="206"/>
      <c r="G16" s="206"/>
    </row>
    <row r="17" spans="2:7" x14ac:dyDescent="0.25">
      <c r="B17" s="16" t="s">
        <v>47</v>
      </c>
      <c r="C17" s="3" t="s">
        <v>48</v>
      </c>
      <c r="D17" s="7">
        <f>+D8+D9</f>
        <v>0</v>
      </c>
      <c r="E17" s="7">
        <f>+Formulario_5!E9</f>
        <v>0</v>
      </c>
      <c r="F17" s="206">
        <v>45742</v>
      </c>
      <c r="G17" s="206">
        <f>+E17*F17</f>
        <v>0</v>
      </c>
    </row>
    <row r="18" spans="2:7" x14ac:dyDescent="0.25">
      <c r="B18" s="6" t="s">
        <v>49</v>
      </c>
      <c r="C18" s="6" t="s">
        <v>50</v>
      </c>
      <c r="D18" s="7">
        <f>+D17/120</f>
        <v>0</v>
      </c>
      <c r="E18" s="7"/>
      <c r="F18" s="206"/>
      <c r="G18" s="206"/>
    </row>
    <row r="19" spans="2:7" ht="30" x14ac:dyDescent="0.25">
      <c r="B19" s="16" t="s">
        <v>51</v>
      </c>
      <c r="C19" s="19" t="s">
        <v>53</v>
      </c>
      <c r="D19" s="7" t="s">
        <v>15</v>
      </c>
      <c r="E19" s="177">
        <v>0</v>
      </c>
      <c r="F19" s="206">
        <v>138897</v>
      </c>
      <c r="G19" s="206">
        <f>+E19*F19</f>
        <v>0</v>
      </c>
    </row>
    <row r="20" spans="2:7" ht="30" hidden="1" x14ac:dyDescent="0.25">
      <c r="B20" s="16" t="s">
        <v>52</v>
      </c>
      <c r="C20" s="19" t="s">
        <v>54</v>
      </c>
      <c r="D20" s="7" t="s">
        <v>15</v>
      </c>
      <c r="E20" s="177" t="e">
        <f>+F41</f>
        <v>#REF!</v>
      </c>
      <c r="F20" s="206">
        <v>263510</v>
      </c>
      <c r="G20" s="206" t="e">
        <f>+E20*F20</f>
        <v>#REF!</v>
      </c>
    </row>
    <row r="21" spans="2:7" ht="30" hidden="1" x14ac:dyDescent="0.25">
      <c r="B21" s="16" t="s">
        <v>52</v>
      </c>
      <c r="C21" s="18" t="s">
        <v>281</v>
      </c>
      <c r="D21" s="7" t="s">
        <v>15</v>
      </c>
      <c r="E21" s="177" t="e">
        <f>+F42</f>
        <v>#REF!</v>
      </c>
      <c r="F21" s="206">
        <v>281792</v>
      </c>
      <c r="G21" s="206" t="e">
        <f>+E21*F21</f>
        <v>#REF!</v>
      </c>
    </row>
    <row r="22" spans="2:7" ht="30" hidden="1" x14ac:dyDescent="0.25">
      <c r="B22" s="16" t="s">
        <v>52</v>
      </c>
      <c r="C22" s="18" t="s">
        <v>282</v>
      </c>
      <c r="D22" s="7" t="s">
        <v>15</v>
      </c>
      <c r="E22" s="177" t="e">
        <f>+F43</f>
        <v>#REF!</v>
      </c>
      <c r="F22" s="206">
        <v>0</v>
      </c>
      <c r="G22" s="206" t="e">
        <f>+E22*F22</f>
        <v>#REF!</v>
      </c>
    </row>
    <row r="23" spans="2:7" ht="30" hidden="1" x14ac:dyDescent="0.25">
      <c r="B23" s="16" t="s">
        <v>52</v>
      </c>
      <c r="C23" s="18" t="s">
        <v>284</v>
      </c>
      <c r="D23" s="7" t="s">
        <v>15</v>
      </c>
      <c r="E23" s="177" t="e">
        <f>+F44</f>
        <v>#REF!</v>
      </c>
      <c r="F23" s="206">
        <v>530308</v>
      </c>
      <c r="G23" s="206" t="e">
        <f>+E23*F23</f>
        <v>#REF!</v>
      </c>
    </row>
    <row r="24" spans="2:7" x14ac:dyDescent="0.25">
      <c r="C24" s="11" t="s">
        <v>17</v>
      </c>
      <c r="D24" s="2"/>
      <c r="E24" s="2"/>
      <c r="F24" s="217"/>
      <c r="G24" s="218" t="e">
        <f>SUM(G12:G23)</f>
        <v>#REF!</v>
      </c>
    </row>
    <row r="25" spans="2:7" x14ac:dyDescent="0.25">
      <c r="C25" s="11" t="s">
        <v>38</v>
      </c>
      <c r="D25" s="2"/>
      <c r="E25" s="2"/>
      <c r="F25" s="217"/>
      <c r="G25" s="218" t="e">
        <f>+G24*0.18</f>
        <v>#REF!</v>
      </c>
    </row>
    <row r="26" spans="2:7" x14ac:dyDescent="0.25">
      <c r="C26" s="11" t="s">
        <v>39</v>
      </c>
      <c r="E26" s="4"/>
      <c r="F26" s="219"/>
      <c r="G26" s="218" t="e">
        <f>+G24*0.16</f>
        <v>#REF!</v>
      </c>
    </row>
    <row r="27" spans="2:7" x14ac:dyDescent="0.25">
      <c r="C27" s="11" t="s">
        <v>19</v>
      </c>
      <c r="D27" s="2"/>
      <c r="E27" s="2"/>
      <c r="F27" s="217"/>
      <c r="G27" s="217" t="e">
        <f>SUM(G24:G26)</f>
        <v>#REF!</v>
      </c>
    </row>
    <row r="30" spans="2:7" x14ac:dyDescent="0.25">
      <c r="D30" s="167" t="s">
        <v>250</v>
      </c>
      <c r="E30" s="167"/>
      <c r="F30" s="167" t="s">
        <v>251</v>
      </c>
    </row>
    <row r="31" spans="2:7" x14ac:dyDescent="0.25">
      <c r="D31" s="162" t="s">
        <v>302</v>
      </c>
      <c r="E31" s="164"/>
      <c r="F31" s="186"/>
      <c r="G31" s="182" t="e">
        <f t="shared" ref="G31:G35" si="0">+F31*$G$38/$F$38</f>
        <v>#REF!</v>
      </c>
    </row>
    <row r="32" spans="2:7" x14ac:dyDescent="0.25">
      <c r="D32" s="154" t="s">
        <v>324</v>
      </c>
      <c r="E32" s="135"/>
      <c r="F32" s="133"/>
      <c r="G32" s="157" t="e">
        <f t="shared" si="0"/>
        <v>#REF!</v>
      </c>
    </row>
    <row r="33" spans="4:8" x14ac:dyDescent="0.25">
      <c r="D33" s="154" t="s">
        <v>249</v>
      </c>
      <c r="E33" s="174" t="s">
        <v>322</v>
      </c>
      <c r="F33" s="133"/>
      <c r="G33" s="182" t="e">
        <f t="shared" si="0"/>
        <v>#REF!</v>
      </c>
    </row>
    <row r="34" spans="4:8" x14ac:dyDescent="0.25">
      <c r="D34" s="154" t="s">
        <v>249</v>
      </c>
      <c r="E34" s="174" t="s">
        <v>328</v>
      </c>
      <c r="F34" s="133"/>
      <c r="G34" s="182" t="e">
        <f t="shared" si="0"/>
        <v>#REF!</v>
      </c>
    </row>
    <row r="35" spans="4:8" s="165" customFormat="1" x14ac:dyDescent="0.25">
      <c r="D35" s="179" t="s">
        <v>249</v>
      </c>
      <c r="E35" s="174" t="s">
        <v>147</v>
      </c>
      <c r="F35" s="133"/>
      <c r="G35" s="182" t="e">
        <f t="shared" si="0"/>
        <v>#REF!</v>
      </c>
    </row>
    <row r="36" spans="4:8" x14ac:dyDescent="0.25">
      <c r="D36" s="154" t="s">
        <v>249</v>
      </c>
      <c r="E36" s="132" t="s">
        <v>288</v>
      </c>
      <c r="F36" s="133"/>
      <c r="G36" s="182" t="e">
        <f>+F36*$G$38/$F$38</f>
        <v>#REF!</v>
      </c>
      <c r="H36" s="157" t="e">
        <f>SUM(G32:G37)</f>
        <v>#REF!</v>
      </c>
    </row>
    <row r="37" spans="4:8" x14ac:dyDescent="0.25">
      <c r="D37" s="154" t="s">
        <v>249</v>
      </c>
      <c r="E37" s="132" t="s">
        <v>148</v>
      </c>
      <c r="F37" s="133" t="e">
        <f>+#REF!</f>
        <v>#REF!</v>
      </c>
      <c r="G37" s="182" t="e">
        <f>+F37*$G$38/$F$38</f>
        <v>#REF!</v>
      </c>
    </row>
    <row r="38" spans="4:8" x14ac:dyDescent="0.25">
      <c r="D38" s="154" t="s">
        <v>4</v>
      </c>
      <c r="E38" s="132"/>
      <c r="F38" s="134" t="e">
        <f>+F37+F36+F35+F34+F33</f>
        <v>#REF!</v>
      </c>
      <c r="G38" s="157">
        <f>+Formulario_4!F24</f>
        <v>0</v>
      </c>
    </row>
    <row r="40" spans="4:8" x14ac:dyDescent="0.25">
      <c r="D40" s="167">
        <v>200</v>
      </c>
      <c r="E40" s="158">
        <v>8</v>
      </c>
      <c r="F40" s="157" t="e">
        <f>+G37+G31+G32</f>
        <v>#REF!</v>
      </c>
      <c r="G40" t="e">
        <f>+#REF!</f>
        <v>#REF!</v>
      </c>
    </row>
    <row r="41" spans="4:8" x14ac:dyDescent="0.25">
      <c r="D41" s="167">
        <v>250</v>
      </c>
      <c r="E41" s="158">
        <v>10</v>
      </c>
      <c r="F41" s="157" t="e">
        <f>+G36</f>
        <v>#REF!</v>
      </c>
      <c r="G41" t="e">
        <f>+#REF!</f>
        <v>#REF!</v>
      </c>
    </row>
    <row r="42" spans="4:8" x14ac:dyDescent="0.25">
      <c r="D42" s="167">
        <v>315</v>
      </c>
      <c r="E42" s="158">
        <v>12</v>
      </c>
      <c r="F42" s="157" t="e">
        <f>+G35</f>
        <v>#REF!</v>
      </c>
      <c r="G42" t="e">
        <f>+#REF!</f>
        <v>#REF!</v>
      </c>
    </row>
    <row r="43" spans="4:8" x14ac:dyDescent="0.25">
      <c r="D43" s="167">
        <v>355</v>
      </c>
      <c r="E43" s="158">
        <v>14</v>
      </c>
      <c r="F43" s="182" t="e">
        <f>+G34</f>
        <v>#REF!</v>
      </c>
    </row>
    <row r="44" spans="4:8" x14ac:dyDescent="0.25">
      <c r="D44" s="167">
        <v>400</v>
      </c>
      <c r="E44" s="158">
        <v>16</v>
      </c>
      <c r="F44" s="182" t="e">
        <f>+G33</f>
        <v>#REF!</v>
      </c>
    </row>
  </sheetData>
  <mergeCells count="3">
    <mergeCell ref="B3:G3"/>
    <mergeCell ref="B5:G5"/>
    <mergeCell ref="B2:G2"/>
  </mergeCells>
  <pageMargins left="0.7" right="0.7" top="0.75" bottom="0.75" header="0.3" footer="0.3"/>
  <pageSetup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06"/>
  <sheetViews>
    <sheetView view="pageBreakPreview" topLeftCell="A21" zoomScale="70" zoomScaleNormal="100" zoomScaleSheetLayoutView="70" workbookViewId="0">
      <selection activeCell="E51" sqref="E51"/>
    </sheetView>
  </sheetViews>
  <sheetFormatPr baseColWidth="10" defaultRowHeight="15" x14ac:dyDescent="0.25"/>
  <cols>
    <col min="3" max="3" width="48.140625" customWidth="1"/>
    <col min="5" max="5" width="13.5703125" bestFit="1" customWidth="1"/>
    <col min="6" max="6" width="18.42578125" customWidth="1"/>
    <col min="7" max="7" width="21" customWidth="1"/>
    <col min="9" max="9" width="13.42578125" bestFit="1" customWidth="1"/>
  </cols>
  <sheetData>
    <row r="2" spans="2:10" x14ac:dyDescent="0.25">
      <c r="B2" s="396" t="e">
        <f>+Formulario_3!B2</f>
        <v>#REF!</v>
      </c>
      <c r="C2" s="396"/>
      <c r="D2" s="396"/>
      <c r="E2" s="396"/>
      <c r="F2" s="396"/>
      <c r="G2" s="396"/>
    </row>
    <row r="3" spans="2:10" x14ac:dyDescent="0.25">
      <c r="B3" s="394" t="e">
        <f>+Formulario_3!B3</f>
        <v>#REF!</v>
      </c>
      <c r="C3" s="394"/>
      <c r="D3" s="394"/>
      <c r="E3" s="394"/>
      <c r="F3" s="394"/>
      <c r="G3" s="394"/>
      <c r="H3" s="5"/>
      <c r="I3" s="5"/>
      <c r="J3" s="5"/>
    </row>
    <row r="5" spans="2:10" x14ac:dyDescent="0.25">
      <c r="B5" s="395" t="s">
        <v>55</v>
      </c>
      <c r="C5" s="395"/>
      <c r="D5" s="395"/>
      <c r="E5" s="395"/>
      <c r="F5" s="395"/>
      <c r="G5" s="395"/>
    </row>
    <row r="6" spans="2:10" ht="30" customHeight="1" x14ac:dyDescent="0.25">
      <c r="B6" s="194" t="s">
        <v>10</v>
      </c>
      <c r="C6" s="194" t="s">
        <v>5</v>
      </c>
      <c r="D6" s="194" t="s">
        <v>6</v>
      </c>
      <c r="E6" s="150" t="s">
        <v>7</v>
      </c>
      <c r="F6" s="150" t="s">
        <v>279</v>
      </c>
      <c r="G6" s="150" t="s">
        <v>280</v>
      </c>
    </row>
    <row r="7" spans="2:10" x14ac:dyDescent="0.25">
      <c r="B7" s="6" t="s">
        <v>58</v>
      </c>
      <c r="C7" s="6" t="s">
        <v>56</v>
      </c>
      <c r="D7" s="168"/>
      <c r="E7" s="3"/>
      <c r="F7" s="3"/>
      <c r="G7" s="3"/>
    </row>
    <row r="8" spans="2:10" ht="30" x14ac:dyDescent="0.25">
      <c r="B8" s="6" t="s">
        <v>59</v>
      </c>
      <c r="C8" s="17" t="s">
        <v>57</v>
      </c>
      <c r="D8" s="168"/>
      <c r="E8" s="3"/>
      <c r="F8" s="3"/>
      <c r="G8" s="3"/>
    </row>
    <row r="9" spans="2:10" ht="62.25" customHeight="1" x14ac:dyDescent="0.25">
      <c r="B9" s="6" t="s">
        <v>60</v>
      </c>
      <c r="C9" s="17" t="s">
        <v>61</v>
      </c>
      <c r="D9" s="168"/>
      <c r="E9" s="7"/>
      <c r="F9" s="9"/>
      <c r="G9" s="10"/>
    </row>
    <row r="10" spans="2:10" hidden="1" x14ac:dyDescent="0.25">
      <c r="B10" s="3" t="s">
        <v>62</v>
      </c>
      <c r="C10" s="3" t="s">
        <v>68</v>
      </c>
      <c r="D10" s="168" t="s">
        <v>15</v>
      </c>
      <c r="E10" s="7">
        <v>0</v>
      </c>
      <c r="F10" s="9">
        <f>+'APUs nuevos'!F1484</f>
        <v>32654.231902019201</v>
      </c>
      <c r="G10" s="10">
        <f t="shared" ref="G10:G16" si="0">+F10*E10</f>
        <v>0</v>
      </c>
    </row>
    <row r="11" spans="2:10" hidden="1" x14ac:dyDescent="0.25">
      <c r="B11" s="3" t="s">
        <v>13</v>
      </c>
      <c r="C11" s="3" t="s">
        <v>69</v>
      </c>
      <c r="D11" s="168" t="s">
        <v>15</v>
      </c>
      <c r="E11" s="7">
        <v>0</v>
      </c>
      <c r="F11" s="9">
        <f>+'APUs nuevos'!F1524</f>
        <v>57743.957974849713</v>
      </c>
      <c r="G11" s="10">
        <f t="shared" si="0"/>
        <v>0</v>
      </c>
    </row>
    <row r="12" spans="2:10" hidden="1" x14ac:dyDescent="0.25">
      <c r="B12" s="3" t="s">
        <v>63</v>
      </c>
      <c r="C12" s="3" t="s">
        <v>70</v>
      </c>
      <c r="D12" s="7" t="s">
        <v>15</v>
      </c>
      <c r="E12" s="7">
        <v>0</v>
      </c>
      <c r="F12" s="9">
        <f>+'APUs nuevos'!F1564</f>
        <v>115804.4438658861</v>
      </c>
      <c r="G12" s="10">
        <f t="shared" si="0"/>
        <v>0</v>
      </c>
    </row>
    <row r="13" spans="2:10" x14ac:dyDescent="0.25">
      <c r="B13" s="3" t="s">
        <v>64</v>
      </c>
      <c r="C13" s="3" t="s">
        <v>71</v>
      </c>
      <c r="D13" s="7" t="s">
        <v>15</v>
      </c>
      <c r="E13" s="189">
        <f>+F29</f>
        <v>0</v>
      </c>
      <c r="F13" s="206">
        <f>+'APUs nuevos'!F1604</f>
        <v>159351.84612341269</v>
      </c>
      <c r="G13" s="206">
        <f t="shared" si="0"/>
        <v>0</v>
      </c>
    </row>
    <row r="14" spans="2:10" hidden="1" x14ac:dyDescent="0.25">
      <c r="B14" s="3" t="s">
        <v>65</v>
      </c>
      <c r="C14" s="3" t="s">
        <v>72</v>
      </c>
      <c r="D14" s="7" t="s">
        <v>15</v>
      </c>
      <c r="E14" s="7">
        <v>0</v>
      </c>
      <c r="F14" s="206">
        <f>+'APUs nuevos'!F1644</f>
        <v>188382.08925445893</v>
      </c>
      <c r="G14" s="206">
        <f t="shared" si="0"/>
        <v>0</v>
      </c>
    </row>
    <row r="15" spans="2:10" x14ac:dyDescent="0.25">
      <c r="B15" s="3" t="s">
        <v>66</v>
      </c>
      <c r="C15" s="3" t="s">
        <v>73</v>
      </c>
      <c r="D15" s="7" t="s">
        <v>15</v>
      </c>
      <c r="E15" s="189">
        <f>+F31</f>
        <v>0</v>
      </c>
      <c r="F15" s="206">
        <f>+'APUs nuevos'!F1684</f>
        <v>231928.47269322941</v>
      </c>
      <c r="G15" s="206">
        <f t="shared" si="0"/>
        <v>0</v>
      </c>
    </row>
    <row r="16" spans="2:10" hidden="1" x14ac:dyDescent="0.25">
      <c r="B16" s="3" t="s">
        <v>67</v>
      </c>
      <c r="C16" s="3" t="s">
        <v>74</v>
      </c>
      <c r="D16" s="7" t="s">
        <v>15</v>
      </c>
      <c r="E16" s="7">
        <v>0</v>
      </c>
      <c r="F16" s="206">
        <f>+'APUs nuevos'!F1724</f>
        <v>319794.46923938039</v>
      </c>
      <c r="G16" s="206">
        <f t="shared" si="0"/>
        <v>0</v>
      </c>
    </row>
    <row r="17" spans="3:10" x14ac:dyDescent="0.25">
      <c r="C17" s="11" t="s">
        <v>17</v>
      </c>
      <c r="D17" s="2"/>
      <c r="E17" s="2"/>
      <c r="F17" s="217"/>
      <c r="G17" s="218">
        <f>SUM(G10:G16)</f>
        <v>0</v>
      </c>
    </row>
    <row r="18" spans="3:10" x14ac:dyDescent="0.25">
      <c r="C18" s="11" t="s">
        <v>18</v>
      </c>
      <c r="D18" s="2"/>
      <c r="E18" s="2"/>
      <c r="F18" s="217"/>
      <c r="G18" s="218">
        <f>+G17*0.3</f>
        <v>0</v>
      </c>
    </row>
    <row r="19" spans="3:10" x14ac:dyDescent="0.25">
      <c r="C19" s="11" t="s">
        <v>19</v>
      </c>
      <c r="F19" s="219"/>
      <c r="G19" s="217">
        <f>+G17+G18</f>
        <v>0</v>
      </c>
    </row>
    <row r="21" spans="3:10" s="165" customFormat="1" x14ac:dyDescent="0.25">
      <c r="E21" s="201" t="s">
        <v>346</v>
      </c>
      <c r="F21" s="201" t="s">
        <v>347</v>
      </c>
    </row>
    <row r="22" spans="3:10" x14ac:dyDescent="0.25">
      <c r="C22" s="197" t="s">
        <v>344</v>
      </c>
      <c r="D22" t="s">
        <v>277</v>
      </c>
      <c r="E22" s="201">
        <v>60</v>
      </c>
      <c r="F22" s="201"/>
    </row>
    <row r="23" spans="3:10" x14ac:dyDescent="0.25">
      <c r="C23" s="197" t="s">
        <v>345</v>
      </c>
      <c r="D23" t="s">
        <v>278</v>
      </c>
      <c r="E23" s="201">
        <v>60</v>
      </c>
      <c r="F23" s="201"/>
    </row>
    <row r="24" spans="3:10" x14ac:dyDescent="0.25">
      <c r="E24" s="201">
        <f>SUM(E22:E23)</f>
        <v>120</v>
      </c>
      <c r="F24" s="202">
        <v>0</v>
      </c>
    </row>
    <row r="26" spans="3:10" x14ac:dyDescent="0.25">
      <c r="D26" s="7" t="s">
        <v>348</v>
      </c>
      <c r="E26" s="149">
        <v>0</v>
      </c>
      <c r="F26" s="182">
        <f>+E26*$E$24</f>
        <v>0</v>
      </c>
      <c r="H26" s="149"/>
      <c r="I26" s="155"/>
      <c r="J26" s="181"/>
    </row>
    <row r="27" spans="3:10" x14ac:dyDescent="0.25">
      <c r="D27" s="200" t="s">
        <v>349</v>
      </c>
      <c r="E27" s="149">
        <v>0</v>
      </c>
      <c r="F27" s="182">
        <f>+E27*$E$24</f>
        <v>0</v>
      </c>
      <c r="H27" s="149"/>
      <c r="I27" s="181"/>
    </row>
    <row r="28" spans="3:10" x14ac:dyDescent="0.25">
      <c r="D28" s="200" t="s">
        <v>350</v>
      </c>
      <c r="E28" s="149">
        <v>0</v>
      </c>
      <c r="F28" s="182">
        <f>+E28*$E$24</f>
        <v>0</v>
      </c>
      <c r="H28" s="149"/>
      <c r="I28" s="181"/>
    </row>
    <row r="29" spans="3:10" x14ac:dyDescent="0.25">
      <c r="D29" s="200" t="s">
        <v>351</v>
      </c>
      <c r="E29" s="149">
        <v>0.5</v>
      </c>
      <c r="F29" s="182">
        <f>+E29*$F$24</f>
        <v>0</v>
      </c>
      <c r="G29" t="s">
        <v>277</v>
      </c>
      <c r="H29" s="149"/>
      <c r="I29" s="181"/>
    </row>
    <row r="30" spans="3:10" x14ac:dyDescent="0.25">
      <c r="D30" s="200" t="s">
        <v>352</v>
      </c>
      <c r="E30" s="149">
        <v>0</v>
      </c>
      <c r="F30" s="182">
        <f>+E30*$E$24</f>
        <v>0</v>
      </c>
      <c r="H30" s="149"/>
      <c r="I30" s="181"/>
    </row>
    <row r="31" spans="3:10" x14ac:dyDescent="0.25">
      <c r="D31" s="200" t="s">
        <v>353</v>
      </c>
      <c r="E31" s="149">
        <v>0.5</v>
      </c>
      <c r="F31" s="182">
        <f>+E31*$F$24</f>
        <v>0</v>
      </c>
      <c r="G31" t="s">
        <v>278</v>
      </c>
      <c r="H31" s="149"/>
      <c r="I31" s="181"/>
    </row>
    <row r="32" spans="3:10" x14ac:dyDescent="0.25">
      <c r="D32" s="200" t="s">
        <v>354</v>
      </c>
      <c r="E32" s="149">
        <v>0</v>
      </c>
      <c r="F32" s="182">
        <f>+E32*$E$24</f>
        <v>0</v>
      </c>
      <c r="H32" s="149"/>
      <c r="I32" s="181"/>
    </row>
    <row r="33" spans="4:9" x14ac:dyDescent="0.25">
      <c r="D33" s="167">
        <f>SUM(D26:D32)</f>
        <v>0</v>
      </c>
      <c r="H33" s="156"/>
      <c r="I33" s="181"/>
    </row>
    <row r="36" spans="4:9" x14ac:dyDescent="0.25">
      <c r="F36" s="167" t="s">
        <v>289</v>
      </c>
      <c r="G36" s="167" t="s">
        <v>290</v>
      </c>
      <c r="H36" s="167" t="s">
        <v>292</v>
      </c>
      <c r="I36" s="167" t="s">
        <v>293</v>
      </c>
    </row>
    <row r="37" spans="4:9" s="165" customFormat="1" x14ac:dyDescent="0.25">
      <c r="D37" s="165" t="s">
        <v>303</v>
      </c>
      <c r="F37" s="167">
        <v>1659</v>
      </c>
      <c r="G37" s="182">
        <v>5752.8270000000002</v>
      </c>
      <c r="H37" s="184">
        <f t="shared" ref="H37:H43" si="1">+F37/G37</f>
        <v>0.28837995649790965</v>
      </c>
      <c r="I37" s="167"/>
    </row>
    <row r="38" spans="4:9" x14ac:dyDescent="0.25">
      <c r="D38" s="165" t="s">
        <v>287</v>
      </c>
      <c r="F38" s="167">
        <v>1140</v>
      </c>
      <c r="G38" s="182">
        <v>3532.7000000000003</v>
      </c>
      <c r="H38" s="184">
        <f t="shared" si="1"/>
        <v>0.32269935177060038</v>
      </c>
      <c r="I38" s="184">
        <f>+AVERAGE(H37:H42)</f>
        <v>0.28718409329062761</v>
      </c>
    </row>
    <row r="39" spans="4:9" x14ac:dyDescent="0.25">
      <c r="D39" s="165" t="s">
        <v>286</v>
      </c>
      <c r="F39" s="167">
        <v>860</v>
      </c>
      <c r="G39" s="182">
        <v>3428.1179999999995</v>
      </c>
      <c r="H39" s="184">
        <f t="shared" si="1"/>
        <v>0.25086651042933766</v>
      </c>
    </row>
    <row r="40" spans="4:9" x14ac:dyDescent="0.25">
      <c r="D40" s="165" t="s">
        <v>291</v>
      </c>
      <c r="F40" s="182">
        <v>1039.7291650829025</v>
      </c>
      <c r="G40" s="182">
        <v>3625.4917999999998</v>
      </c>
      <c r="H40" s="184">
        <f t="shared" si="1"/>
        <v>0.286782931099969</v>
      </c>
    </row>
    <row r="41" spans="4:9" x14ac:dyDescent="0.25">
      <c r="D41" s="165" t="s">
        <v>304</v>
      </c>
      <c r="F41" s="167">
        <v>1018</v>
      </c>
      <c r="G41" s="182">
        <v>3545.2579999999998</v>
      </c>
      <c r="H41" s="184">
        <f t="shared" si="1"/>
        <v>0.28714412322036931</v>
      </c>
    </row>
    <row r="42" spans="4:9" x14ac:dyDescent="0.25">
      <c r="D42" s="165" t="s">
        <v>321</v>
      </c>
      <c r="F42" s="167">
        <v>1943</v>
      </c>
      <c r="G42" s="182">
        <v>6764.5739999999987</v>
      </c>
      <c r="H42" s="184">
        <f t="shared" si="1"/>
        <v>0.28723168672557953</v>
      </c>
    </row>
    <row r="43" spans="4:9" x14ac:dyDescent="0.25">
      <c r="D43" s="165" t="s">
        <v>337</v>
      </c>
      <c r="F43" s="167">
        <v>1335</v>
      </c>
      <c r="G43" s="182">
        <v>4649.7400000000007</v>
      </c>
      <c r="H43" s="184">
        <f t="shared" si="1"/>
        <v>0.28711282781402825</v>
      </c>
    </row>
    <row r="44" spans="4:9" s="165" customFormat="1" x14ac:dyDescent="0.25">
      <c r="D44" s="165" t="s">
        <v>338</v>
      </c>
      <c r="F44" s="167">
        <v>1292</v>
      </c>
      <c r="G44" s="182">
        <v>4497.3799999999992</v>
      </c>
      <c r="H44" s="184">
        <v>0.28727837096264941</v>
      </c>
    </row>
    <row r="45" spans="4:9" s="165" customFormat="1" x14ac:dyDescent="0.25">
      <c r="D45" s="165" t="s">
        <v>340</v>
      </c>
      <c r="F45" s="167">
        <v>575</v>
      </c>
      <c r="G45" s="182">
        <v>2003.9</v>
      </c>
    </row>
    <row r="46" spans="4:9" s="165" customFormat="1" x14ac:dyDescent="0.25">
      <c r="D46" s="165" t="s">
        <v>341</v>
      </c>
      <c r="F46" s="167">
        <v>780</v>
      </c>
      <c r="G46" s="182">
        <v>2717.17</v>
      </c>
    </row>
    <row r="47" spans="4:9" s="165" customFormat="1" x14ac:dyDescent="0.25">
      <c r="D47" s="165" t="s">
        <v>342</v>
      </c>
      <c r="F47" s="167">
        <v>1624</v>
      </c>
      <c r="G47" s="182">
        <v>5653.7000000000007</v>
      </c>
    </row>
    <row r="48" spans="4:9" s="165" customFormat="1" x14ac:dyDescent="0.25"/>
    <row r="49" spans="4:6" s="165" customFormat="1" x14ac:dyDescent="0.25"/>
    <row r="50" spans="4:6" s="165" customFormat="1" x14ac:dyDescent="0.25">
      <c r="D50" s="167" t="s">
        <v>397</v>
      </c>
      <c r="E50" s="201" t="s">
        <v>383</v>
      </c>
      <c r="F50" s="201" t="s">
        <v>289</v>
      </c>
    </row>
    <row r="51" spans="4:6" s="165" customFormat="1" x14ac:dyDescent="0.25">
      <c r="D51" s="201" t="s">
        <v>411</v>
      </c>
      <c r="E51" s="182" t="e">
        <f>+#REF!</f>
        <v>#REF!</v>
      </c>
      <c r="F51" s="261" t="e">
        <f>+E51*I38</f>
        <v>#REF!</v>
      </c>
    </row>
    <row r="52" spans="4:6" s="165" customFormat="1" x14ac:dyDescent="0.25">
      <c r="F52" s="167" t="e">
        <f>ROUND(F51,0)</f>
        <v>#REF!</v>
      </c>
    </row>
    <row r="53" spans="4:6" s="165" customFormat="1" x14ac:dyDescent="0.25"/>
    <row r="54" spans="4:6" s="165" customFormat="1" x14ac:dyDescent="0.25"/>
    <row r="55" spans="4:6" s="165" customFormat="1" x14ac:dyDescent="0.25"/>
    <row r="56" spans="4:6" s="165" customFormat="1" x14ac:dyDescent="0.25"/>
    <row r="57" spans="4:6" s="165" customFormat="1" x14ac:dyDescent="0.25"/>
    <row r="58" spans="4:6" s="165" customFormat="1" x14ac:dyDescent="0.25"/>
    <row r="59" spans="4:6" s="165" customFormat="1" x14ac:dyDescent="0.25"/>
    <row r="60" spans="4:6" s="165" customFormat="1" x14ac:dyDescent="0.25"/>
    <row r="61" spans="4:6" s="165" customFormat="1" x14ac:dyDescent="0.25"/>
    <row r="62" spans="4:6" s="165" customFormat="1" x14ac:dyDescent="0.25"/>
    <row r="63" spans="4:6" s="165" customFormat="1" x14ac:dyDescent="0.25"/>
    <row r="64" spans="4:6" s="165" customFormat="1" x14ac:dyDescent="0.25"/>
    <row r="65" spans="4:9" s="165" customFormat="1" x14ac:dyDescent="0.25"/>
    <row r="66" spans="4:9" s="165" customFormat="1" x14ac:dyDescent="0.25"/>
    <row r="67" spans="4:9" s="165" customFormat="1" x14ac:dyDescent="0.25"/>
    <row r="68" spans="4:9" s="165" customFormat="1" x14ac:dyDescent="0.25"/>
    <row r="69" spans="4:9" x14ac:dyDescent="0.25">
      <c r="F69" s="167" t="s">
        <v>307</v>
      </c>
      <c r="G69" s="167" t="s">
        <v>308</v>
      </c>
      <c r="H69" s="167" t="s">
        <v>310</v>
      </c>
      <c r="I69" s="167" t="s">
        <v>309</v>
      </c>
    </row>
    <row r="70" spans="4:9" x14ac:dyDescent="0.25">
      <c r="D70" s="165" t="s">
        <v>303</v>
      </c>
      <c r="F70" s="191">
        <f>+G37*$F$76</f>
        <v>180398.97575535276</v>
      </c>
      <c r="G70" s="182">
        <f>+H37*G37</f>
        <v>1659.0000000000002</v>
      </c>
      <c r="H70" s="182">
        <f>+G70*5</f>
        <v>8295.0000000000018</v>
      </c>
      <c r="I70" s="182">
        <f>+H70/(F70/10000)</f>
        <v>459.81414058853795</v>
      </c>
    </row>
    <row r="71" spans="4:9" x14ac:dyDescent="0.25">
      <c r="D71" s="165" t="s">
        <v>287</v>
      </c>
      <c r="F71" s="191">
        <f>+G38*$F$76</f>
        <v>110779.52833466654</v>
      </c>
      <c r="G71" s="182">
        <f>+H38*G38</f>
        <v>1140</v>
      </c>
      <c r="H71" s="182">
        <f>+G71*5</f>
        <v>5700</v>
      </c>
      <c r="I71" s="182">
        <f>+H71/(F71/10000)</f>
        <v>514.53549998698486</v>
      </c>
    </row>
    <row r="72" spans="4:9" x14ac:dyDescent="0.25">
      <c r="D72" s="165" t="s">
        <v>286</v>
      </c>
      <c r="F72" s="191">
        <f>+G39*$F$76</f>
        <v>107500.01277084959</v>
      </c>
      <c r="G72" s="182">
        <f>+H39*G39</f>
        <v>860</v>
      </c>
      <c r="H72" s="182">
        <f>+G72*5</f>
        <v>4300</v>
      </c>
      <c r="I72" s="182">
        <f>+H72/(F72/10000)</f>
        <v>399.9999524805653</v>
      </c>
    </row>
    <row r="73" spans="4:9" x14ac:dyDescent="0.25">
      <c r="D73" s="165" t="s">
        <v>291</v>
      </c>
      <c r="F73" s="191">
        <f>+G40*$F$76</f>
        <v>113689.32306315316</v>
      </c>
      <c r="G73" s="182">
        <f>+H40*G40</f>
        <v>1039.7291650829025</v>
      </c>
      <c r="H73" s="182">
        <f>+G73*5</f>
        <v>5198.6458254145127</v>
      </c>
      <c r="I73" s="182">
        <f>+H73/(F73/10000)</f>
        <v>457.26772623377508</v>
      </c>
    </row>
    <row r="74" spans="4:9" x14ac:dyDescent="0.25">
      <c r="D74" s="165" t="s">
        <v>304</v>
      </c>
      <c r="F74" s="191">
        <f>+G41*$F$76</f>
        <v>111173.32608619559</v>
      </c>
      <c r="G74" s="182">
        <f>+I38*G41</f>
        <v>1018.1417042113438</v>
      </c>
      <c r="H74" s="182">
        <f>+G74*5</f>
        <v>5090.7085210567193</v>
      </c>
      <c r="I74" s="182">
        <f>+H74/(F74/10000)</f>
        <v>457.90736863532891</v>
      </c>
    </row>
    <row r="76" spans="4:9" x14ac:dyDescent="0.25">
      <c r="D76" s="165" t="s">
        <v>311</v>
      </c>
      <c r="F76" s="182">
        <v>31.358317528991009</v>
      </c>
    </row>
    <row r="80" spans="4:9" x14ac:dyDescent="0.25">
      <c r="D80" s="167" t="s">
        <v>312</v>
      </c>
      <c r="E80" s="167"/>
      <c r="F80" s="167"/>
      <c r="G80" s="167"/>
      <c r="H80" s="167"/>
      <c r="I80" s="167"/>
    </row>
    <row r="81" spans="4:10" x14ac:dyDescent="0.25">
      <c r="D81" s="167"/>
      <c r="E81" s="192" t="s">
        <v>316</v>
      </c>
      <c r="F81" s="192"/>
      <c r="G81" s="167"/>
      <c r="H81" s="167"/>
      <c r="I81" s="167"/>
    </row>
    <row r="82" spans="4:10" x14ac:dyDescent="0.25">
      <c r="D82" s="167" t="s">
        <v>313</v>
      </c>
      <c r="E82" s="167" t="s">
        <v>314</v>
      </c>
      <c r="F82" s="167" t="s">
        <v>315</v>
      </c>
      <c r="G82" s="167" t="s">
        <v>317</v>
      </c>
      <c r="H82" s="167"/>
      <c r="I82" s="167"/>
    </row>
    <row r="83" spans="4:10" x14ac:dyDescent="0.25">
      <c r="D83" s="167">
        <v>1</v>
      </c>
      <c r="E83" s="167">
        <v>60</v>
      </c>
      <c r="F83" s="167">
        <v>80</v>
      </c>
      <c r="G83" s="167">
        <v>4</v>
      </c>
      <c r="H83" s="167">
        <f>+G83*F83</f>
        <v>320</v>
      </c>
      <c r="I83" s="167"/>
    </row>
    <row r="84" spans="4:10" x14ac:dyDescent="0.25">
      <c r="D84" s="167">
        <v>2</v>
      </c>
      <c r="E84" s="167">
        <v>60</v>
      </c>
      <c r="F84" s="167"/>
      <c r="G84" s="167">
        <v>4</v>
      </c>
      <c r="H84" s="167">
        <f>+G84*E84</f>
        <v>240</v>
      </c>
      <c r="I84" s="167"/>
    </row>
    <row r="85" spans="4:10" x14ac:dyDescent="0.25">
      <c r="D85" s="167">
        <v>3</v>
      </c>
      <c r="E85" s="167">
        <v>50</v>
      </c>
      <c r="F85" s="167"/>
      <c r="G85" s="167">
        <v>4</v>
      </c>
      <c r="H85" s="167">
        <f>+G85*E85</f>
        <v>200</v>
      </c>
      <c r="I85" s="167"/>
    </row>
    <row r="86" spans="4:10" x14ac:dyDescent="0.25">
      <c r="D86" s="167">
        <v>4</v>
      </c>
      <c r="E86" s="167">
        <v>150</v>
      </c>
      <c r="F86" s="167"/>
      <c r="G86" s="167">
        <v>4</v>
      </c>
      <c r="H86" s="167">
        <f>+G86*E86</f>
        <v>600</v>
      </c>
      <c r="I86" s="167"/>
    </row>
    <row r="87" spans="4:10" x14ac:dyDescent="0.25">
      <c r="D87" s="167">
        <v>5</v>
      </c>
      <c r="E87" s="167">
        <v>150</v>
      </c>
      <c r="F87" s="167"/>
      <c r="G87" s="167">
        <v>4</v>
      </c>
      <c r="H87" s="167">
        <f>+G87*E87</f>
        <v>600</v>
      </c>
      <c r="I87" s="167"/>
    </row>
    <row r="88" spans="4:10" x14ac:dyDescent="0.25">
      <c r="D88" s="167">
        <v>6</v>
      </c>
      <c r="E88" s="167">
        <v>150</v>
      </c>
      <c r="F88" s="167"/>
      <c r="G88" s="167">
        <v>4</v>
      </c>
      <c r="H88" s="167">
        <f>+G88*E88</f>
        <v>600</v>
      </c>
      <c r="I88" s="167"/>
    </row>
    <row r="89" spans="4:10" x14ac:dyDescent="0.25">
      <c r="H89" s="182">
        <f>+AVERAGE(H83:H88)</f>
        <v>426.66666666666669</v>
      </c>
    </row>
    <row r="92" spans="4:10" x14ac:dyDescent="0.25">
      <c r="H92">
        <v>400</v>
      </c>
      <c r="I92">
        <v>700</v>
      </c>
      <c r="J92" s="165" t="s">
        <v>318</v>
      </c>
    </row>
    <row r="95" spans="4:10" x14ac:dyDescent="0.25">
      <c r="D95" s="165" t="s">
        <v>319</v>
      </c>
      <c r="G95" s="167" t="s">
        <v>320</v>
      </c>
    </row>
    <row r="96" spans="4:10" x14ac:dyDescent="0.25">
      <c r="D96">
        <v>1</v>
      </c>
      <c r="E96" s="167">
        <v>60</v>
      </c>
      <c r="F96" s="167">
        <v>80</v>
      </c>
      <c r="G96" s="167">
        <v>225</v>
      </c>
      <c r="H96" s="149">
        <f t="shared" ref="H96:H104" si="2">+G96/$G$105</f>
        <v>0.1048462255358807</v>
      </c>
      <c r="I96" s="167">
        <f>+(E96+F96)/2</f>
        <v>70</v>
      </c>
      <c r="J96" s="182">
        <f t="shared" ref="J96:J104" si="3">+I96*H96</f>
        <v>7.3392357875116492</v>
      </c>
    </row>
    <row r="97" spans="4:11" x14ac:dyDescent="0.25">
      <c r="D97">
        <v>2</v>
      </c>
      <c r="E97" s="167">
        <v>60</v>
      </c>
      <c r="F97" s="167"/>
      <c r="G97" s="167">
        <v>126</v>
      </c>
      <c r="H97" s="149">
        <f t="shared" si="2"/>
        <v>5.8713886300093193E-2</v>
      </c>
      <c r="I97" s="167">
        <f>+E97</f>
        <v>60</v>
      </c>
      <c r="J97" s="182">
        <f t="shared" si="3"/>
        <v>3.5228331780055915</v>
      </c>
    </row>
    <row r="98" spans="4:11" x14ac:dyDescent="0.25">
      <c r="D98">
        <v>3</v>
      </c>
      <c r="E98" s="167"/>
      <c r="F98" s="167">
        <v>80</v>
      </c>
      <c r="G98" s="167">
        <v>398</v>
      </c>
      <c r="H98" s="149">
        <f t="shared" si="2"/>
        <v>0.18546132339235788</v>
      </c>
      <c r="I98" s="167">
        <f>+F98</f>
        <v>80</v>
      </c>
      <c r="J98" s="182">
        <f t="shared" si="3"/>
        <v>14.83690587138863</v>
      </c>
    </row>
    <row r="99" spans="4:11" x14ac:dyDescent="0.25">
      <c r="D99">
        <v>4</v>
      </c>
      <c r="E99" s="167"/>
      <c r="F99" s="167">
        <v>80</v>
      </c>
      <c r="G99" s="167">
        <v>236</v>
      </c>
      <c r="H99" s="149">
        <f t="shared" si="2"/>
        <v>0.10997204100652376</v>
      </c>
      <c r="I99" s="167">
        <f>+F99</f>
        <v>80</v>
      </c>
      <c r="J99" s="182">
        <f t="shared" si="3"/>
        <v>8.7977632805219006</v>
      </c>
    </row>
    <row r="100" spans="4:11" x14ac:dyDescent="0.25">
      <c r="D100">
        <v>5</v>
      </c>
      <c r="E100" s="167">
        <v>80</v>
      </c>
      <c r="F100" s="167">
        <v>150</v>
      </c>
      <c r="G100" s="167">
        <v>234</v>
      </c>
      <c r="H100" s="149">
        <f t="shared" si="2"/>
        <v>0.10904007455731593</v>
      </c>
      <c r="I100" s="167">
        <f>+(E100+F100)/2</f>
        <v>115</v>
      </c>
      <c r="J100" s="182">
        <f t="shared" si="3"/>
        <v>12.539608574091332</v>
      </c>
    </row>
    <row r="101" spans="4:11" x14ac:dyDescent="0.25">
      <c r="D101">
        <v>6</v>
      </c>
      <c r="E101" s="167">
        <v>60</v>
      </c>
      <c r="F101" s="167">
        <v>80</v>
      </c>
      <c r="G101" s="167">
        <v>199</v>
      </c>
      <c r="H101" s="149">
        <f t="shared" si="2"/>
        <v>9.273066169617894E-2</v>
      </c>
      <c r="I101" s="167">
        <f>+(E101+F101)/2</f>
        <v>70</v>
      </c>
      <c r="J101" s="182">
        <f t="shared" si="3"/>
        <v>6.4911463187325253</v>
      </c>
    </row>
    <row r="102" spans="4:11" x14ac:dyDescent="0.25">
      <c r="D102">
        <v>7</v>
      </c>
      <c r="E102" s="167">
        <v>50</v>
      </c>
      <c r="G102" s="167">
        <v>367</v>
      </c>
      <c r="H102" s="149">
        <f t="shared" si="2"/>
        <v>0.17101584342963652</v>
      </c>
      <c r="I102" s="167">
        <f>+E102</f>
        <v>50</v>
      </c>
      <c r="J102" s="182">
        <f t="shared" si="3"/>
        <v>8.5507921714818256</v>
      </c>
    </row>
    <row r="103" spans="4:11" x14ac:dyDescent="0.25">
      <c r="D103">
        <v>8</v>
      </c>
      <c r="E103" s="167">
        <v>60</v>
      </c>
      <c r="F103" s="167">
        <v>80</v>
      </c>
      <c r="G103" s="167">
        <v>170</v>
      </c>
      <c r="H103" s="149">
        <f t="shared" si="2"/>
        <v>7.9217148182665426E-2</v>
      </c>
      <c r="I103" s="167">
        <f>+(E103+F103)/2</f>
        <v>70</v>
      </c>
      <c r="J103" s="182">
        <f t="shared" si="3"/>
        <v>5.5452003727865797</v>
      </c>
    </row>
    <row r="104" spans="4:11" x14ac:dyDescent="0.25">
      <c r="D104">
        <v>9</v>
      </c>
      <c r="E104" s="167">
        <v>60</v>
      </c>
      <c r="F104" s="167">
        <v>80</v>
      </c>
      <c r="G104" s="167">
        <v>191</v>
      </c>
      <c r="H104" s="149">
        <f t="shared" si="2"/>
        <v>8.900279589934762E-2</v>
      </c>
      <c r="I104" s="167">
        <f>+(E104+F104)/2</f>
        <v>70</v>
      </c>
      <c r="J104" s="182">
        <f t="shared" si="3"/>
        <v>6.2301957129543331</v>
      </c>
    </row>
    <row r="105" spans="4:11" x14ac:dyDescent="0.25">
      <c r="G105" s="167">
        <f>SUM(G96:G104)</f>
        <v>2146</v>
      </c>
      <c r="H105" s="156">
        <f>SUM(H96:H104)</f>
        <v>1</v>
      </c>
      <c r="I105" s="167"/>
      <c r="J105" s="182">
        <f>SUM(J96:J104)</f>
        <v>73.853681267474357</v>
      </c>
      <c r="K105" s="182">
        <f>+J105*5.5</f>
        <v>406.19524697110899</v>
      </c>
    </row>
    <row r="106" spans="4:11" x14ac:dyDescent="0.25">
      <c r="K106" s="182">
        <f>+J105*4.5</f>
        <v>332.34156570363461</v>
      </c>
    </row>
  </sheetData>
  <mergeCells count="3">
    <mergeCell ref="B3:G3"/>
    <mergeCell ref="B5:G5"/>
    <mergeCell ref="B2:G2"/>
  </mergeCells>
  <pageMargins left="0.7" right="0.7" top="0.75" bottom="0.75" header="0.3" footer="0.3"/>
  <pageSetup scale="9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8"/>
  <sheetViews>
    <sheetView view="pageBreakPreview" zoomScale="80" zoomScaleNormal="100" zoomScaleSheetLayoutView="80" workbookViewId="0">
      <selection activeCell="D20" sqref="D20"/>
    </sheetView>
  </sheetViews>
  <sheetFormatPr baseColWidth="10" defaultRowHeight="15" x14ac:dyDescent="0.25"/>
  <cols>
    <col min="1" max="1" width="5.5703125" customWidth="1"/>
    <col min="3" max="3" width="46.140625" customWidth="1"/>
    <col min="6" max="6" width="15.7109375" customWidth="1"/>
    <col min="7" max="7" width="15.140625" bestFit="1" customWidth="1"/>
  </cols>
  <sheetData>
    <row r="2" spans="2:10" x14ac:dyDescent="0.25">
      <c r="B2" s="396" t="e">
        <f>+Formulario_4!B2</f>
        <v>#REF!</v>
      </c>
      <c r="C2" s="396"/>
      <c r="D2" s="396"/>
      <c r="E2" s="396"/>
      <c r="F2" s="396"/>
      <c r="G2" s="396"/>
    </row>
    <row r="3" spans="2:10" x14ac:dyDescent="0.25">
      <c r="B3" s="394" t="e">
        <f>+Formulario_4!B3</f>
        <v>#REF!</v>
      </c>
      <c r="C3" s="394"/>
      <c r="D3" s="394"/>
      <c r="E3" s="394"/>
      <c r="F3" s="394"/>
      <c r="G3" s="394"/>
      <c r="H3" s="5"/>
      <c r="I3" s="5"/>
      <c r="J3" s="5"/>
    </row>
    <row r="5" spans="2:10" x14ac:dyDescent="0.25">
      <c r="B5" s="395" t="s">
        <v>16</v>
      </c>
      <c r="C5" s="395"/>
      <c r="D5" s="395"/>
      <c r="E5" s="395"/>
      <c r="F5" s="395"/>
      <c r="G5" s="395"/>
    </row>
    <row r="6" spans="2:10" ht="30.75" customHeight="1" x14ac:dyDescent="0.25">
      <c r="B6" s="194" t="s">
        <v>10</v>
      </c>
      <c r="C6" s="194" t="s">
        <v>5</v>
      </c>
      <c r="D6" s="194" t="s">
        <v>6</v>
      </c>
      <c r="E6" s="150" t="s">
        <v>7</v>
      </c>
      <c r="F6" s="150" t="s">
        <v>279</v>
      </c>
      <c r="G6" s="150" t="s">
        <v>280</v>
      </c>
    </row>
    <row r="7" spans="2:10" x14ac:dyDescent="0.25">
      <c r="B7" s="3" t="s">
        <v>8</v>
      </c>
      <c r="C7" s="3" t="s">
        <v>9</v>
      </c>
      <c r="D7" s="168"/>
      <c r="E7" s="3"/>
      <c r="F7" s="3"/>
      <c r="G7" s="3"/>
    </row>
    <row r="8" spans="2:10" x14ac:dyDescent="0.25">
      <c r="B8" s="3" t="s">
        <v>11</v>
      </c>
      <c r="C8" s="3" t="s">
        <v>12</v>
      </c>
      <c r="D8" s="168"/>
      <c r="E8" s="3"/>
      <c r="F8" s="3"/>
      <c r="G8" s="3"/>
    </row>
    <row r="9" spans="2:10" ht="30" x14ac:dyDescent="0.25">
      <c r="B9" s="3" t="s">
        <v>13</v>
      </c>
      <c r="C9" s="18" t="s">
        <v>14</v>
      </c>
      <c r="D9" s="168" t="s">
        <v>15</v>
      </c>
      <c r="E9" s="177">
        <f>+SUM(Formulario_4!E10:E16)</f>
        <v>0</v>
      </c>
      <c r="F9" s="206">
        <f>+'APUs nuevos'!F1764</f>
        <v>390807.7972080654</v>
      </c>
      <c r="G9" s="206">
        <f>+E9*F9</f>
        <v>0</v>
      </c>
    </row>
    <row r="10" spans="2:10" x14ac:dyDescent="0.25">
      <c r="C10" s="11" t="s">
        <v>17</v>
      </c>
      <c r="D10" s="196"/>
      <c r="E10" s="2"/>
      <c r="F10" s="217"/>
      <c r="G10" s="218">
        <f>+G9</f>
        <v>0</v>
      </c>
    </row>
    <row r="11" spans="2:10" x14ac:dyDescent="0.25">
      <c r="C11" s="11" t="s">
        <v>18</v>
      </c>
      <c r="D11" s="196"/>
      <c r="E11" s="2"/>
      <c r="F11" s="217"/>
      <c r="G11" s="218">
        <f>+G10*0.3</f>
        <v>0</v>
      </c>
    </row>
    <row r="12" spans="2:10" x14ac:dyDescent="0.25">
      <c r="C12" s="11" t="s">
        <v>19</v>
      </c>
      <c r="D12" s="2"/>
      <c r="E12" s="2"/>
      <c r="F12" s="217"/>
      <c r="G12" s="217">
        <f>+G10+G11</f>
        <v>0</v>
      </c>
    </row>
    <row r="17" spans="4:4" x14ac:dyDescent="0.25">
      <c r="D17" t="e">
        <f>+D8+D9</f>
        <v>#VALUE!</v>
      </c>
    </row>
    <row r="18" spans="4:4" x14ac:dyDescent="0.25">
      <c r="D18" t="e">
        <f>+D17/120</f>
        <v>#VALUE!</v>
      </c>
    </row>
  </sheetData>
  <mergeCells count="3">
    <mergeCell ref="B5:G5"/>
    <mergeCell ref="B3:G3"/>
    <mergeCell ref="B2:G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18</vt:i4>
      </vt:variant>
    </vt:vector>
  </HeadingPairs>
  <TitlesOfParts>
    <vt:vector size="33" baseType="lpstr">
      <vt:lpstr>Cuadro Experiencia Anexo No 2A</vt:lpstr>
      <vt:lpstr>Cuadro Experiencia Anexo No 2B</vt:lpstr>
      <vt:lpstr>Resumen</vt:lpstr>
      <vt:lpstr>Formulario_1</vt:lpstr>
      <vt:lpstr>Formulario_1 Inter</vt:lpstr>
      <vt:lpstr>Formulario_2 arena chia</vt:lpstr>
      <vt:lpstr>Formulario_3</vt:lpstr>
      <vt:lpstr>Formulario_4</vt:lpstr>
      <vt:lpstr>Formulario_5</vt:lpstr>
      <vt:lpstr>APUs nuevos</vt:lpstr>
      <vt:lpstr>Lista_prec_base</vt:lpstr>
      <vt:lpstr>Formulario_2 Tanque</vt:lpstr>
      <vt:lpstr>Formulario_3 Estación de bombeo</vt:lpstr>
      <vt:lpstr>Formulario_4 impulsion</vt:lpstr>
      <vt:lpstr>calc cant (2)</vt:lpstr>
      <vt:lpstr>'APUs nuevos'!Área_de_impresión</vt:lpstr>
      <vt:lpstr>'calc cant (2)'!Área_de_impresión</vt:lpstr>
      <vt:lpstr>'Cuadro Experiencia Anexo No 2A'!Área_de_impresión</vt:lpstr>
      <vt:lpstr>'Cuadro Experiencia Anexo No 2B'!Área_de_impresión</vt:lpstr>
      <vt:lpstr>Formulario_1!Área_de_impresión</vt:lpstr>
      <vt:lpstr>'Formulario_1 Inter'!Área_de_impresión</vt:lpstr>
      <vt:lpstr>'Formulario_2 arena chia'!Área_de_impresión</vt:lpstr>
      <vt:lpstr>'Formulario_2 Tanque'!Área_de_impresión</vt:lpstr>
      <vt:lpstr>Formulario_3!Área_de_impresión</vt:lpstr>
      <vt:lpstr>'Formulario_3 Estación de bombeo'!Área_de_impresión</vt:lpstr>
      <vt:lpstr>Formulario_4!Área_de_impresión</vt:lpstr>
      <vt:lpstr>'Formulario_4 impulsion'!Área_de_impresión</vt:lpstr>
      <vt:lpstr>Formulario_5!Área_de_impresión</vt:lpstr>
      <vt:lpstr>Resumen!Área_de_impresión</vt:lpstr>
      <vt:lpstr>'calc cant (2)'!h</vt:lpstr>
      <vt:lpstr>'calc cant (2)'!Títulos_a_imprimir</vt:lpstr>
      <vt:lpstr>'Formulario_1 Inter'!Títulos_a_imprimir</vt:lpstr>
      <vt:lpstr>'Formulario_3 Estación de bombeo'!Títulos_a_imprimir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Edgardo Herrera</dc:creator>
  <cp:lastModifiedBy>USER</cp:lastModifiedBy>
  <cp:lastPrinted>2019-10-31T22:28:21Z</cp:lastPrinted>
  <dcterms:created xsi:type="dcterms:W3CDTF">2012-08-25T21:00:45Z</dcterms:created>
  <dcterms:modified xsi:type="dcterms:W3CDTF">2019-11-19T15:23:21Z</dcterms:modified>
</cp:coreProperties>
</file>